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Лист1" sheetId="1" r:id="rId1"/>
    <sheet name="Лист2" sheetId="2" state="hidden" r:id="rId2"/>
    <sheet name="Лист3" sheetId="3" state="hidden" r:id="rId3"/>
    <sheet name="Лист4" sheetId="4" state="hidden" r:id="rId4"/>
  </sheets>
  <definedNames>
    <definedName name="_all3">'Лист1'!#REF!</definedName>
    <definedName name="Excel_BuiltIn__FilterDatabase" localSheetId="1">'Лист2'!$B$32:$B$36</definedName>
    <definedName name="folga4">OFFSET('Лист2'!$A$29,MATCH('Лист1'!#REF!,'Лист2'!$A:$A,0)-30--nomer5,2,1,5)</definedName>
    <definedName name="foto6">INDEX('Лист4'!$Q$107:$AD$158,MATCH('Лист1'!#REF!,'Лист4'!$A$1:$A$158,0),MATCH('Лист1'!#REF!,'Лист4'!$I$1:$AD$1,0))</definedName>
    <definedName name="material1">'Лист2'!$B$1:$B$28</definedName>
    <definedName name="MPP">tolshina2+"123"</definedName>
    <definedName name="nomer5">MATCH('Лист1'!#REF!,tolshina2,0)</definedName>
    <definedName name="sborka18">INDEX('Лист4'!$I$1:$AD$421,x+3,y)</definedName>
    <definedName name="tolshina2">OFFSET('Лист2'!$A$30,MATCH(_all3,'Лист2'!$A:$A,0)-30,1,COUNTIF('Лист2'!$A:$A,_all3),1)</definedName>
    <definedName name="x">MATCH('Лист1'!#REF!,'Лист4'!$A$1:$A$421,0)</definedName>
    <definedName name="y">MATCH('Лист1'!#REF!,'Лист4'!$I$1:$AD$1,0)</definedName>
    <definedName name="_xlnm.Print_Area" localSheetId="0">'Лист1'!$A$2:$F$43</definedName>
  </definedNames>
  <calcPr fullCalcOnLoad="1"/>
</workbook>
</file>

<file path=xl/sharedStrings.xml><?xml version="1.0" encoding="utf-8"?>
<sst xmlns="http://schemas.openxmlformats.org/spreadsheetml/2006/main" count="612" uniqueCount="128">
  <si>
    <t>Название фирмы (или ФИО) заказчика</t>
  </si>
  <si>
    <t>необходимо заполнить</t>
  </si>
  <si>
    <t>Тип собственности плательщика</t>
  </si>
  <si>
    <t>Физическое лицо</t>
  </si>
  <si>
    <t>Юридическое лицо</t>
  </si>
  <si>
    <t>Индивидуальный предприниматель</t>
  </si>
  <si>
    <t>Способ отправки счета</t>
  </si>
  <si>
    <t>Электронная почта</t>
  </si>
  <si>
    <t>Факс</t>
  </si>
  <si>
    <t>Способ получения плат</t>
  </si>
  <si>
    <t>Доставка</t>
  </si>
  <si>
    <t>Самовывоз из офиса в Зеленограде</t>
  </si>
  <si>
    <t>Самовывоз из офиса в Санкт-Петербурге</t>
  </si>
  <si>
    <t>Самовывоз из офиса в Екатеринбурге</t>
  </si>
  <si>
    <t>Контакт по техническим вопросам     (ФИО, email, тел)</t>
  </si>
  <si>
    <t>Характеристика проекта</t>
  </si>
  <si>
    <t>Название файла платы:</t>
  </si>
  <si>
    <t>Плата изготавливается: "впервые" / "повторно"</t>
  </si>
  <si>
    <t>впервые</t>
  </si>
  <si>
    <t>повторно без изменений</t>
  </si>
  <si>
    <t>повторно с изменениями (Доптребования)</t>
  </si>
  <si>
    <t>список повторов в приложенном файле</t>
  </si>
  <si>
    <t>Срочное производство</t>
  </si>
  <si>
    <t>Серийное производство</t>
  </si>
  <si>
    <t>HiTech производство</t>
  </si>
  <si>
    <t>Требуется изготовить, шт</t>
  </si>
  <si>
    <t>Количество проводящих слоев</t>
  </si>
  <si>
    <t>без проводящих слоев</t>
  </si>
  <si>
    <t xml:space="preserve">Материал основания                                                                                            </t>
  </si>
  <si>
    <t>FR4 типовой</t>
  </si>
  <si>
    <t xml:space="preserve">Толщина материала (ОПП, ДПП)/Общая толщина платы ( МПП), мм </t>
  </si>
  <si>
    <t xml:space="preserve">Толщина фольги, мкм                                                                                         </t>
  </si>
  <si>
    <t xml:space="preserve">Финишное покрытие площадок                                                                        </t>
  </si>
  <si>
    <t>ПОС-63</t>
  </si>
  <si>
    <t>ImAu/ENIG (иммерс. золото)</t>
  </si>
  <si>
    <t>ImAg(иммерс. серебро)</t>
  </si>
  <si>
    <t>Металлорезист</t>
  </si>
  <si>
    <t>Голая медь</t>
  </si>
  <si>
    <t>Наличие маски</t>
  </si>
  <si>
    <t>маска с 2 сторон</t>
  </si>
  <si>
    <t>маска сверху</t>
  </si>
  <si>
    <t>маска снизу</t>
  </si>
  <si>
    <t>без маски</t>
  </si>
  <si>
    <t>синего цвета</t>
  </si>
  <si>
    <t>красного цвета</t>
  </si>
  <si>
    <t>желтого цвета</t>
  </si>
  <si>
    <t>черного цвета</t>
  </si>
  <si>
    <t>черного матового цвета</t>
  </si>
  <si>
    <t>супербелого цвета</t>
  </si>
  <si>
    <t>отсутствует</t>
  </si>
  <si>
    <t>с 2 сторон</t>
  </si>
  <si>
    <t>только сверху</t>
  </si>
  <si>
    <t>только снизу</t>
  </si>
  <si>
    <t>Монтаж печатных плат</t>
  </si>
  <si>
    <t>не требуется</t>
  </si>
  <si>
    <t>требуется</t>
  </si>
  <si>
    <t>Дополнительные требования</t>
  </si>
  <si>
    <t xml:space="preserve">Срок производства ОПП и ДПП без маски — 2 рабочих дня, с маской — 3 дня. 
Срок производства многослойных печатных плат – 5-7 рабочих дней
1. Наличие электротестирования, иммерсионного золочения, нестандартной паяльной маски увеличивает срок изготовления на 1—2 рабочих дня. 
2. Дни приема и доставки заказа не учитываются. 
3. Изготовление плат по 5-му классу точности добавляет к сроку изготовления 1—2 рабочих дня.
Отдельно оплачивается:
• Иммерсионное золочение и иммерсионное сереберение
• Нестандартная (черная, красная, синяя или супербелая) защитная маска +1500 руб.
• Покрытие ламелей: Au — 0,30 руб./мм², Ni — 0,05 руб./мм².
• Проверка платы электротестовым оборудованием на КЗ и обрыв — 40 руб./дм².
• Изготовление и электротестирование 1 дм² плат с параметрами зазор и/или проводник менее 0,2 мм, и/или минимальное переходное отверстие менее 0,4 мм, коэффициент = 1,2.
• Изготовление и электротестирование 1 дм² ДПП с параметрами зазор и/или проводник менее 0,15 мм, и/или минимальное переходное отверстие менее 0,3 мм, коэффициент = 1,5.
</t>
  </si>
  <si>
    <t xml:space="preserve">Для ОПП и ДПП без маски срок изготовления — 1 рабочий день.
Для ОПП и ДПП с маской срок изготовления — 2 рабочих дня.
МПП по системе «Суперэкспресс» не изготавливаются.
- Если плата изготавливается  с электротестированием, то срок изготовления увеличивается на 1 рабочий день.
- Дни приема и доставки заказа не учитываются. 
Отдельно оплачивается:
• Проверка платы электротестовым оборудованием на КЗ и обрыв — 40 руб./дм².
</t>
  </si>
  <si>
    <t>Ориентировочный срок производства — 4 недели.
Отдельно оплачивается:
• Изготовление штампа,
• Золотосодержащие финишные покрытия,
• Изготовление адаптера для электротеста или безадаптерное электротестирование,
• Многослойные платы 5 класса точности, многослойные платы со слепыми и скрытыми переходами.
Платы из материала толщиной 2 мм — 8 руб./дм²,
Платы с толщиной фольги 70 мкм — 10 руб./дм²,
Платы с толщиной фольги 100 мкм — 16 руб./дм²,
Покрытие ламелей Ni,
Проверка платы электротестовым оборудованием на КЗ и обрыв — 40 руб./дм²,
При площади печатной платы менее 0,3 дм² стоимость дм² увеличивается: 
менее 0,1 дм² коэф.=3; 
от 0,1 до 0,2 дм² коэф.=2; 
от 0,2 до 0,3 дм² коэф.=1,4,</t>
  </si>
  <si>
    <t xml:space="preserve">
</t>
  </si>
  <si>
    <t>Требуемая сборка</t>
  </si>
  <si>
    <t>RO4003C</t>
  </si>
  <si>
    <t>Стеклотекстолит заказчика ВЧ</t>
  </si>
  <si>
    <t>AR1000</t>
  </si>
  <si>
    <t>25N</t>
  </si>
  <si>
    <t>AD1000</t>
  </si>
  <si>
    <t>RO4350B</t>
  </si>
  <si>
    <t>AD250</t>
  </si>
  <si>
    <t>FR4 Isola</t>
  </si>
  <si>
    <t>FR4 HiTg170</t>
  </si>
  <si>
    <t>AD600</t>
  </si>
  <si>
    <t>Стеклотекстолит заказчика</t>
  </si>
  <si>
    <t>AD255</t>
  </si>
  <si>
    <t>AD450</t>
  </si>
  <si>
    <t>IT-859</t>
  </si>
  <si>
    <t>T111(Al)</t>
  </si>
  <si>
    <t>IT-158</t>
  </si>
  <si>
    <t>HA-50 Type1</t>
  </si>
  <si>
    <t>T112(5052)</t>
  </si>
  <si>
    <t>T110(5052)</t>
  </si>
  <si>
    <t>T110(1100)</t>
  </si>
  <si>
    <t>T111(1100)</t>
  </si>
  <si>
    <t>HA-50 Type2</t>
  </si>
  <si>
    <t>XPC</t>
  </si>
  <si>
    <t>IT-889</t>
  </si>
  <si>
    <t>HA-50 Type4</t>
  </si>
  <si>
    <t>T111(5052)</t>
  </si>
  <si>
    <t>HA-50 Type3</t>
  </si>
  <si>
    <t>T111(6061)</t>
  </si>
  <si>
    <t>фольга 35мкм</t>
  </si>
  <si>
    <t>фольга 18мкм</t>
  </si>
  <si>
    <t>препрег 0,12мм</t>
  </si>
  <si>
    <t>препрег 0,18мм</t>
  </si>
  <si>
    <t>препрег 0,3мм</t>
  </si>
  <si>
    <t>препрег 0,36мм</t>
  </si>
  <si>
    <t>препрег 0,54мм</t>
  </si>
  <si>
    <t>FR4 0,5мм</t>
  </si>
  <si>
    <t>FR4 0,7мм</t>
  </si>
  <si>
    <t>препрег 0,24мм</t>
  </si>
  <si>
    <t>препрег 0,30мм</t>
  </si>
  <si>
    <t>FR4 0,3мм</t>
  </si>
  <si>
    <t>8слоев 1,5 мм</t>
  </si>
  <si>
    <t>8слоев 1,6 мм</t>
  </si>
  <si>
    <t>8слоев 1,8 мм</t>
  </si>
  <si>
    <t>8слоев 2 мм</t>
  </si>
  <si>
    <t>FR4 0,25мм</t>
  </si>
  <si>
    <t>8слоев 1,5мм</t>
  </si>
  <si>
    <t>10 слоев 2 мм</t>
  </si>
  <si>
    <t>многослойной согласно приложеннию</t>
  </si>
  <si>
    <t xml:space="preserve">необходимо заполнить </t>
  </si>
  <si>
    <t>Цвет маски</t>
  </si>
  <si>
    <t>ИНН/КПП</t>
  </si>
  <si>
    <t>Адресс (юридичческий)</t>
  </si>
  <si>
    <t>Способ доставки</t>
  </si>
  <si>
    <t>Адрес доставки заказа, примечания по доставке"</t>
  </si>
  <si>
    <t>"Контакт по доставке                               (ФИО, email, тел)"</t>
  </si>
  <si>
    <t>Вариант изготовления (срок поставки)</t>
  </si>
  <si>
    <t>Количество панелей, шт</t>
  </si>
  <si>
    <t>Точный габарит платы по X, мм</t>
  </si>
  <si>
    <t>Точный габарит платы по Y, мм</t>
  </si>
  <si>
    <t>Габариты мультиплаты по X, мм</t>
  </si>
  <si>
    <t>Габариты мультиплаты по Y, мм</t>
  </si>
  <si>
    <t>Наличие маркировки (цвет, кол-во сторон)</t>
  </si>
  <si>
    <t>Обработка контура</t>
  </si>
  <si>
    <t>Внутренняя фрезеровка</t>
  </si>
  <si>
    <t>Скрайбирование</t>
  </si>
  <si>
    <t>KIM2BE  тел.         e-mail: pcb@lumcom.ru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</si>
</sst>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h:mm"/>
    <numFmt numFmtId="173" formatCode="0.000"/>
    <numFmt numFmtId="174" formatCode="m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i/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0"/>
      <color indexed="12"/>
      <name val="Arial Cyr"/>
      <family val="2"/>
    </font>
    <font>
      <sz val="10"/>
      <color indexed="17"/>
      <name val="Arial Cyr"/>
      <family val="2"/>
    </font>
    <font>
      <b/>
      <sz val="16"/>
      <color indexed="8"/>
      <name val="Calibri"/>
      <family val="2"/>
    </font>
    <font>
      <b/>
      <sz val="10"/>
      <color indexed="10"/>
      <name val="Arial Cyr"/>
      <family val="2"/>
    </font>
    <font>
      <sz val="6"/>
      <name val="Calibri"/>
      <family val="2"/>
    </font>
    <font>
      <sz val="10"/>
      <color indexed="45"/>
      <name val="Arial Cyr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48"/>
      <name val="Arial"/>
      <family val="2"/>
    </font>
    <font>
      <sz val="10"/>
      <color indexed="8"/>
      <name val="Arial"/>
      <family val="2"/>
    </font>
    <font>
      <sz val="8"/>
      <color indexed="60"/>
      <name val="Arial"/>
      <family val="2"/>
    </font>
    <font>
      <sz val="10"/>
      <color indexed="8"/>
      <name val="Arial Cyr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sz val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hair">
        <color indexed="57"/>
      </top>
      <bottom style="hair">
        <color indexed="57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2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2" fillId="28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9" borderId="7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34" borderId="0" xfId="0" applyFont="1" applyFill="1" applyBorder="1" applyAlignment="1">
      <alignment/>
    </xf>
    <xf numFmtId="0" fontId="13" fillId="34" borderId="10" xfId="54" applyNumberFormat="1" applyFont="1" applyFill="1" applyBorder="1" applyAlignment="1">
      <alignment horizontal="left" vertical="top"/>
      <protection/>
    </xf>
    <xf numFmtId="0" fontId="13" fillId="34" borderId="11" xfId="54" applyNumberFormat="1" applyFont="1" applyFill="1" applyBorder="1" applyAlignment="1">
      <alignment horizontal="left" vertical="top"/>
      <protection/>
    </xf>
    <xf numFmtId="0" fontId="0" fillId="0" borderId="0" xfId="0" applyBorder="1" applyAlignment="1">
      <alignment/>
    </xf>
    <xf numFmtId="0" fontId="14" fillId="34" borderId="10" xfId="54" applyNumberFormat="1" applyFont="1" applyFill="1" applyBorder="1" applyAlignment="1">
      <alignment horizontal="left" vertical="top"/>
      <protection/>
    </xf>
    <xf numFmtId="0" fontId="14" fillId="34" borderId="12" xfId="54" applyNumberFormat="1" applyFont="1" applyFill="1" applyBorder="1" applyAlignment="1">
      <alignment horizontal="left" vertical="top"/>
      <protection/>
    </xf>
    <xf numFmtId="0" fontId="15" fillId="0" borderId="0" xfId="0" applyFont="1" applyAlignment="1">
      <alignment/>
    </xf>
    <xf numFmtId="173" fontId="13" fillId="34" borderId="10" xfId="54" applyNumberFormat="1" applyFont="1" applyFill="1" applyBorder="1" applyAlignment="1">
      <alignment horizontal="right" vertical="top"/>
      <protection/>
    </xf>
    <xf numFmtId="1" fontId="13" fillId="34" borderId="10" xfId="54" applyNumberFormat="1" applyFont="1" applyFill="1" applyBorder="1" applyAlignment="1">
      <alignment horizontal="right" vertical="top"/>
      <protection/>
    </xf>
    <xf numFmtId="1" fontId="2" fillId="35" borderId="10" xfId="54" applyNumberFormat="1" applyFont="1" applyFill="1" applyBorder="1" applyAlignment="1">
      <alignment horizontal="right" vertical="top"/>
      <protection/>
    </xf>
    <xf numFmtId="1" fontId="13" fillId="35" borderId="10" xfId="54" applyNumberFormat="1" applyFont="1" applyFill="1" applyBorder="1" applyAlignment="1">
      <alignment horizontal="right" vertical="top"/>
      <protection/>
    </xf>
    <xf numFmtId="1" fontId="2" fillId="36" borderId="10" xfId="54" applyNumberFormat="1" applyFont="1" applyFill="1" applyBorder="1" applyAlignment="1">
      <alignment horizontal="right" vertical="top"/>
      <protection/>
    </xf>
    <xf numFmtId="173" fontId="13" fillId="36" borderId="10" xfId="54" applyNumberFormat="1" applyFont="1" applyFill="1" applyBorder="1" applyAlignment="1">
      <alignment horizontal="right" vertical="top"/>
      <protection/>
    </xf>
    <xf numFmtId="1" fontId="13" fillId="34" borderId="0" xfId="54" applyNumberFormat="1" applyFont="1" applyFill="1" applyBorder="1" applyAlignment="1">
      <alignment horizontal="right" vertical="top"/>
      <protection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3" fontId="13" fillId="35" borderId="10" xfId="54" applyNumberFormat="1" applyFont="1" applyFill="1" applyBorder="1" applyAlignment="1">
      <alignment horizontal="right" vertical="top"/>
      <protection/>
    </xf>
    <xf numFmtId="173" fontId="2" fillId="35" borderId="10" xfId="54" applyNumberFormat="1" applyFont="1" applyFill="1" applyBorder="1" applyAlignment="1">
      <alignment horizontal="right" vertical="top"/>
      <protection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3" fillId="37" borderId="10" xfId="54" applyNumberFormat="1" applyFont="1" applyFill="1" applyBorder="1" applyAlignment="1">
      <alignment horizontal="left" vertical="top"/>
      <protection/>
    </xf>
    <xf numFmtId="173" fontId="13" fillId="37" borderId="10" xfId="54" applyNumberFormat="1" applyFont="1" applyFill="1" applyBorder="1" applyAlignment="1">
      <alignment horizontal="right" vertical="top"/>
      <protection/>
    </xf>
    <xf numFmtId="1" fontId="13" fillId="37" borderId="10" xfId="54" applyNumberFormat="1" applyFont="1" applyFill="1" applyBorder="1" applyAlignment="1">
      <alignment horizontal="right" vertical="top"/>
      <protection/>
    </xf>
    <xf numFmtId="0" fontId="0" fillId="37" borderId="0" xfId="0" applyFill="1" applyAlignment="1">
      <alignment/>
    </xf>
    <xf numFmtId="173" fontId="16" fillId="37" borderId="10" xfId="54" applyNumberFormat="1" applyFont="1" applyFill="1" applyBorder="1" applyAlignment="1">
      <alignment horizontal="right" vertical="top"/>
      <protection/>
    </xf>
    <xf numFmtId="1" fontId="16" fillId="37" borderId="10" xfId="54" applyNumberFormat="1" applyFont="1" applyFill="1" applyBorder="1" applyAlignment="1">
      <alignment horizontal="right" vertical="top"/>
      <protection/>
    </xf>
    <xf numFmtId="173" fontId="14" fillId="34" borderId="10" xfId="54" applyNumberFormat="1" applyFont="1" applyFill="1" applyBorder="1" applyAlignment="1">
      <alignment horizontal="right" vertical="top"/>
      <protection/>
    </xf>
    <xf numFmtId="1" fontId="14" fillId="34" borderId="10" xfId="54" applyNumberFormat="1" applyFont="1" applyFill="1" applyBorder="1" applyAlignment="1">
      <alignment horizontal="right" vertical="top"/>
      <protection/>
    </xf>
    <xf numFmtId="1" fontId="16" fillId="34" borderId="10" xfId="54" applyNumberFormat="1" applyFont="1" applyFill="1" applyBorder="1" applyAlignment="1">
      <alignment horizontal="right" vertical="top"/>
      <protection/>
    </xf>
    <xf numFmtId="173" fontId="0" fillId="0" borderId="0" xfId="0" applyNumberFormat="1" applyAlignment="1">
      <alignment/>
    </xf>
    <xf numFmtId="2" fontId="17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173" fontId="15" fillId="0" borderId="0" xfId="0" applyNumberFormat="1" applyFont="1" applyFill="1" applyBorder="1" applyAlignment="1">
      <alignment/>
    </xf>
    <xf numFmtId="173" fontId="17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3" fontId="18" fillId="0" borderId="0" xfId="0" applyNumberFormat="1" applyFont="1" applyBorder="1" applyAlignment="1">
      <alignment/>
    </xf>
    <xf numFmtId="2" fontId="18" fillId="0" borderId="13" xfId="0" applyNumberFormat="1" applyFont="1" applyBorder="1" applyAlignment="1">
      <alignment/>
    </xf>
    <xf numFmtId="173" fontId="18" fillId="0" borderId="13" xfId="0" applyNumberFormat="1" applyFont="1" applyBorder="1" applyAlignment="1">
      <alignment/>
    </xf>
    <xf numFmtId="2" fontId="18" fillId="0" borderId="13" xfId="0" applyNumberFormat="1" applyFont="1" applyFill="1" applyBorder="1" applyAlignment="1">
      <alignment/>
    </xf>
    <xf numFmtId="2" fontId="18" fillId="0" borderId="14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173" fontId="0" fillId="34" borderId="0" xfId="0" applyNumberForma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6" xfId="0" applyFill="1" applyBorder="1" applyAlignment="1">
      <alignment/>
    </xf>
    <xf numFmtId="173" fontId="0" fillId="38" borderId="0" xfId="0" applyNumberFormat="1" applyFill="1" applyBorder="1" applyAlignment="1">
      <alignment/>
    </xf>
    <xf numFmtId="0" fontId="19" fillId="39" borderId="0" xfId="0" applyFont="1" applyFill="1" applyBorder="1" applyAlignment="1">
      <alignment horizontal="center"/>
    </xf>
    <xf numFmtId="0" fontId="0" fillId="40" borderId="0" xfId="0" applyFill="1" applyBorder="1" applyAlignment="1">
      <alignment/>
    </xf>
    <xf numFmtId="0" fontId="20" fillId="40" borderId="0" xfId="0" applyFont="1" applyFill="1" applyBorder="1" applyAlignment="1">
      <alignment horizontal="center"/>
    </xf>
    <xf numFmtId="0" fontId="19" fillId="40" borderId="0" xfId="0" applyFont="1" applyFill="1" applyBorder="1" applyAlignment="1">
      <alignment horizontal="center"/>
    </xf>
    <xf numFmtId="174" fontId="20" fillId="40" borderId="16" xfId="0" applyNumberFormat="1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3" xfId="0" applyFont="1" applyFill="1" applyBorder="1" applyAlignment="1">
      <alignment/>
    </xf>
    <xf numFmtId="0" fontId="19" fillId="39" borderId="16" xfId="0" applyFont="1" applyFill="1" applyBorder="1" applyAlignment="1">
      <alignment horizontal="center"/>
    </xf>
    <xf numFmtId="173" fontId="19" fillId="39" borderId="0" xfId="0" applyNumberFormat="1" applyFont="1" applyFill="1" applyBorder="1" applyAlignment="1">
      <alignment horizontal="center"/>
    </xf>
    <xf numFmtId="0" fontId="0" fillId="40" borderId="16" xfId="0" applyFill="1" applyBorder="1" applyAlignment="1">
      <alignment/>
    </xf>
    <xf numFmtId="173" fontId="0" fillId="40" borderId="0" xfId="0" applyNumberFormat="1" applyFill="1" applyBorder="1" applyAlignment="1">
      <alignment/>
    </xf>
    <xf numFmtId="0" fontId="20" fillId="40" borderId="16" xfId="0" applyFont="1" applyFill="1" applyBorder="1" applyAlignment="1">
      <alignment horizontal="center"/>
    </xf>
    <xf numFmtId="173" fontId="20" fillId="40" borderId="0" xfId="0" applyNumberFormat="1" applyFont="1" applyFill="1" applyBorder="1" applyAlignment="1">
      <alignment horizontal="center"/>
    </xf>
    <xf numFmtId="0" fontId="19" fillId="40" borderId="16" xfId="0" applyFont="1" applyFill="1" applyBorder="1" applyAlignment="1">
      <alignment horizontal="center"/>
    </xf>
    <xf numFmtId="173" fontId="19" fillId="40" borderId="0" xfId="0" applyNumberFormat="1" applyFont="1" applyFill="1" applyBorder="1" applyAlignment="1">
      <alignment horizontal="center"/>
    </xf>
    <xf numFmtId="0" fontId="0" fillId="34" borderId="16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41" borderId="0" xfId="0" applyFill="1" applyAlignment="1">
      <alignment/>
    </xf>
    <xf numFmtId="0" fontId="0" fillId="41" borderId="0" xfId="0" applyFont="1" applyFill="1" applyAlignment="1">
      <alignment horizontal="right"/>
    </xf>
    <xf numFmtId="0" fontId="0" fillId="41" borderId="0" xfId="0" applyFont="1" applyFill="1" applyBorder="1" applyAlignment="1">
      <alignment horizontal="left" vertical="top"/>
    </xf>
    <xf numFmtId="0" fontId="6" fillId="41" borderId="0" xfId="0" applyFont="1" applyFill="1" applyBorder="1" applyAlignment="1">
      <alignment horizontal="left" vertical="top"/>
    </xf>
    <xf numFmtId="0" fontId="7" fillId="41" borderId="0" xfId="0" applyFont="1" applyFill="1" applyBorder="1" applyAlignment="1">
      <alignment horizontal="left" vertical="top"/>
    </xf>
    <xf numFmtId="0" fontId="0" fillId="41" borderId="0" xfId="0" applyNumberFormat="1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8" fillId="42" borderId="18" xfId="0" applyFont="1" applyFill="1" applyBorder="1" applyAlignment="1">
      <alignment horizontal="center"/>
    </xf>
    <xf numFmtId="0" fontId="9" fillId="42" borderId="19" xfId="0" applyFont="1" applyFill="1" applyBorder="1" applyAlignment="1" applyProtection="1">
      <alignment horizontal="left" vertical="top"/>
      <protection locked="0"/>
    </xf>
    <xf numFmtId="0" fontId="10" fillId="41" borderId="0" xfId="0" applyFont="1" applyFill="1" applyBorder="1" applyAlignment="1">
      <alignment wrapText="1"/>
    </xf>
    <xf numFmtId="0" fontId="10" fillId="41" borderId="0" xfId="0" applyFont="1" applyFill="1" applyBorder="1" applyAlignment="1">
      <alignment horizontal="left" vertical="top" wrapText="1"/>
    </xf>
    <xf numFmtId="0" fontId="10" fillId="41" borderId="0" xfId="0" applyFont="1" applyFill="1" applyAlignment="1">
      <alignment/>
    </xf>
    <xf numFmtId="0" fontId="10" fillId="41" borderId="0" xfId="0" applyFont="1" applyFill="1" applyAlignment="1">
      <alignment horizontal="left" vertical="top"/>
    </xf>
    <xf numFmtId="0" fontId="10" fillId="41" borderId="0" xfId="0" applyFont="1" applyFill="1" applyBorder="1" applyAlignment="1">
      <alignment horizontal="left" vertical="top"/>
    </xf>
    <xf numFmtId="0" fontId="11" fillId="42" borderId="18" xfId="0" applyFont="1" applyFill="1" applyBorder="1" applyAlignment="1">
      <alignment/>
    </xf>
    <xf numFmtId="0" fontId="3" fillId="41" borderId="20" xfId="0" applyFont="1" applyFill="1" applyBorder="1" applyAlignment="1">
      <alignment/>
    </xf>
    <xf numFmtId="0" fontId="0" fillId="41" borderId="20" xfId="0" applyFill="1" applyBorder="1" applyAlignment="1">
      <alignment/>
    </xf>
    <xf numFmtId="0" fontId="4" fillId="43" borderId="20" xfId="0" applyFont="1" applyFill="1" applyBorder="1" applyAlignment="1">
      <alignment horizontal="left"/>
    </xf>
    <xf numFmtId="0" fontId="4" fillId="43" borderId="20" xfId="0" applyFont="1" applyFill="1" applyBorder="1" applyAlignment="1">
      <alignment horizontal="left"/>
    </xf>
    <xf numFmtId="0" fontId="5" fillId="44" borderId="20" xfId="0" applyFont="1" applyFill="1" applyBorder="1" applyAlignment="1">
      <alignment/>
    </xf>
    <xf numFmtId="0" fontId="5" fillId="44" borderId="20" xfId="0" applyFont="1" applyFill="1" applyBorder="1" applyAlignment="1">
      <alignment/>
    </xf>
    <xf numFmtId="0" fontId="4" fillId="45" borderId="20" xfId="0" applyFont="1" applyFill="1" applyBorder="1" applyAlignment="1" applyProtection="1">
      <alignment/>
      <protection/>
    </xf>
    <xf numFmtId="0" fontId="4" fillId="45" borderId="21" xfId="0" applyFont="1" applyFill="1" applyBorder="1" applyAlignment="1" applyProtection="1">
      <alignment horizontal="left"/>
      <protection/>
    </xf>
    <xf numFmtId="0" fontId="4" fillId="45" borderId="22" xfId="0" applyFont="1" applyFill="1" applyBorder="1" applyAlignment="1" applyProtection="1">
      <alignment horizontal="left"/>
      <protection/>
    </xf>
    <xf numFmtId="0" fontId="4" fillId="45" borderId="23" xfId="0" applyFont="1" applyFill="1" applyBorder="1" applyAlignment="1" applyProtection="1">
      <alignment horizontal="left"/>
      <protection/>
    </xf>
    <xf numFmtId="0" fontId="37" fillId="0" borderId="24" xfId="0" applyNumberFormat="1" applyFont="1" applyBorder="1" applyAlignment="1">
      <alignment horizontal="left" wrapText="1"/>
    </xf>
    <xf numFmtId="0" fontId="37" fillId="0" borderId="25" xfId="0" applyNumberFormat="1" applyFont="1" applyBorder="1" applyAlignment="1">
      <alignment horizontal="left" wrapText="1"/>
    </xf>
    <xf numFmtId="0" fontId="37" fillId="0" borderId="26" xfId="0" applyNumberFormat="1" applyFont="1" applyBorder="1" applyAlignment="1">
      <alignment horizontal="left" wrapText="1"/>
    </xf>
    <xf numFmtId="0" fontId="37" fillId="0" borderId="27" xfId="0" applyNumberFormat="1" applyFont="1" applyBorder="1" applyAlignment="1">
      <alignment horizontal="left" wrapText="1"/>
    </xf>
    <xf numFmtId="0" fontId="37" fillId="0" borderId="28" xfId="0" applyNumberFormat="1" applyFont="1" applyBorder="1" applyAlignment="1">
      <alignment horizontal="left" wrapText="1"/>
    </xf>
    <xf numFmtId="0" fontId="37" fillId="0" borderId="29" xfId="0" applyNumberFormat="1" applyFont="1" applyBorder="1" applyAlignment="1">
      <alignment horizontal="left" wrapText="1"/>
    </xf>
    <xf numFmtId="0" fontId="37" fillId="0" borderId="30" xfId="0" applyNumberFormat="1" applyFont="1" applyBorder="1" applyAlignment="1">
      <alignment horizontal="left" wrapText="1"/>
    </xf>
    <xf numFmtId="0" fontId="37" fillId="0" borderId="31" xfId="0" applyNumberFormat="1" applyFont="1" applyBorder="1" applyAlignment="1">
      <alignment horizontal="left" wrapText="1"/>
    </xf>
    <xf numFmtId="0" fontId="37" fillId="0" borderId="32" xfId="0" applyNumberFormat="1" applyFont="1" applyBorder="1" applyAlignment="1">
      <alignment horizontal="left" wrapText="1"/>
    </xf>
    <xf numFmtId="0" fontId="37" fillId="0" borderId="20" xfId="0" applyNumberFormat="1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Хороши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color indexed="47"/>
      </font>
      <fill>
        <patternFill patternType="solid">
          <fgColor indexed="22"/>
          <bgColor indexed="47"/>
        </patternFill>
      </fill>
    </dxf>
    <dxf>
      <font>
        <b val="0"/>
        <color rgb="FFFFCC99"/>
      </font>
      <fill>
        <patternFill patternType="solid">
          <fgColor rgb="FFC0C0C0"/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tabSelected="1" zoomScale="115" zoomScaleNormal="115" zoomScaleSheetLayoutView="100" zoomScalePageLayoutView="0" workbookViewId="0" topLeftCell="A1">
      <selection activeCell="A4" sqref="A4:E4"/>
    </sheetView>
  </sheetViews>
  <sheetFormatPr defaultColWidth="9.00390625" defaultRowHeight="12.75"/>
  <cols>
    <col min="1" max="1" width="5.875" style="69" customWidth="1"/>
    <col min="2" max="2" width="5.25390625" style="69" customWidth="1"/>
    <col min="3" max="3" width="11.25390625" style="69" customWidth="1"/>
    <col min="4" max="4" width="10.75390625" style="69" customWidth="1"/>
    <col min="5" max="5" width="15.75390625" style="69" customWidth="1"/>
    <col min="6" max="6" width="19.00390625" style="69" customWidth="1"/>
    <col min="7" max="7" width="9.125" style="69" customWidth="1"/>
    <col min="8" max="31" width="0" style="69" hidden="1" customWidth="1"/>
    <col min="32" max="16384" width="9.125" style="69" customWidth="1"/>
  </cols>
  <sheetData>
    <row r="1" spans="1:6" ht="12.75">
      <c r="A1" s="84" t="s">
        <v>127</v>
      </c>
      <c r="B1" s="85"/>
      <c r="C1" s="85"/>
      <c r="D1" s="85"/>
      <c r="E1" s="85"/>
      <c r="F1" s="85"/>
    </row>
    <row r="2" spans="1:6" ht="12.75">
      <c r="A2" s="86" t="s">
        <v>0</v>
      </c>
      <c r="B2" s="86"/>
      <c r="C2" s="86"/>
      <c r="D2" s="86"/>
      <c r="E2" s="86"/>
      <c r="F2" s="85"/>
    </row>
    <row r="3" spans="1:16" ht="12.75">
      <c r="A3" s="86" t="s">
        <v>2</v>
      </c>
      <c r="B3" s="86"/>
      <c r="C3" s="86"/>
      <c r="D3" s="86"/>
      <c r="E3" s="86"/>
      <c r="F3" s="85"/>
      <c r="M3" s="69" t="s">
        <v>1</v>
      </c>
      <c r="N3" s="70" t="s">
        <v>3</v>
      </c>
      <c r="O3" s="70" t="s">
        <v>4</v>
      </c>
      <c r="P3" s="70" t="s">
        <v>5</v>
      </c>
    </row>
    <row r="4" spans="1:6" ht="12.75">
      <c r="A4" s="86" t="s">
        <v>112</v>
      </c>
      <c r="B4" s="86"/>
      <c r="C4" s="86"/>
      <c r="D4" s="86"/>
      <c r="E4" s="86"/>
      <c r="F4" s="87" t="s">
        <v>110</v>
      </c>
    </row>
    <row r="5" spans="1:6" ht="12.75">
      <c r="A5" s="86" t="s">
        <v>113</v>
      </c>
      <c r="B5" s="86"/>
      <c r="C5" s="86"/>
      <c r="D5" s="86"/>
      <c r="E5" s="86"/>
      <c r="F5" s="87" t="s">
        <v>110</v>
      </c>
    </row>
    <row r="6" spans="1:15" ht="12.75">
      <c r="A6" s="86" t="s">
        <v>6</v>
      </c>
      <c r="B6" s="86"/>
      <c r="C6" s="86"/>
      <c r="D6" s="86"/>
      <c r="E6" s="86"/>
      <c r="F6" s="87" t="s">
        <v>110</v>
      </c>
      <c r="M6" s="69" t="s">
        <v>1</v>
      </c>
      <c r="N6" s="70" t="s">
        <v>7</v>
      </c>
      <c r="O6" s="70" t="s">
        <v>8</v>
      </c>
    </row>
    <row r="7" spans="1:17" ht="12.75">
      <c r="A7" s="86" t="s">
        <v>9</v>
      </c>
      <c r="B7" s="86"/>
      <c r="C7" s="86"/>
      <c r="D7" s="86"/>
      <c r="E7" s="86"/>
      <c r="F7" s="87" t="s">
        <v>110</v>
      </c>
      <c r="M7" s="69" t="s">
        <v>1</v>
      </c>
      <c r="N7" s="70" t="s">
        <v>10</v>
      </c>
      <c r="O7" s="70" t="s">
        <v>11</v>
      </c>
      <c r="P7" s="69" t="s">
        <v>12</v>
      </c>
      <c r="Q7" s="69" t="s">
        <v>13</v>
      </c>
    </row>
    <row r="8" spans="1:19" ht="12.75">
      <c r="A8" s="86" t="s">
        <v>114</v>
      </c>
      <c r="B8" s="86"/>
      <c r="C8" s="86"/>
      <c r="D8" s="86"/>
      <c r="E8" s="86"/>
      <c r="F8" s="87" t="s">
        <v>110</v>
      </c>
      <c r="M8" s="69" t="s">
        <v>1</v>
      </c>
      <c r="N8" s="70" t="e">
        <f>IF(#REF!&lt;&gt;"Самовывоз","Автотрейдинг","")</f>
        <v>#REF!</v>
      </c>
      <c r="O8" s="70" t="e">
        <f>IF(#REF!&lt;&gt;"Самовывоз","Почта России","")</f>
        <v>#REF!</v>
      </c>
      <c r="P8" s="70" t="e">
        <f>IF(#REF!&lt;&gt;"Самовывоз","Экспресс доставка","")</f>
        <v>#REF!</v>
      </c>
      <c r="Q8" s="70" t="e">
        <f>IF(#REF!&lt;&gt;"Самовывоз","Доставка в пределах МКАД (Москва)","")</f>
        <v>#REF!</v>
      </c>
      <c r="R8" s="70" t="e">
        <f>IF(#REF!&lt;&gt;"Самовывоз","Доставка в пределах КАД (Питер)","")</f>
        <v>#REF!</v>
      </c>
      <c r="S8" s="70"/>
    </row>
    <row r="9" spans="1:6" ht="12.75">
      <c r="A9" s="86" t="s">
        <v>115</v>
      </c>
      <c r="B9" s="86"/>
      <c r="C9" s="86"/>
      <c r="D9" s="86"/>
      <c r="E9" s="86"/>
      <c r="F9" s="87" t="s">
        <v>110</v>
      </c>
    </row>
    <row r="10" spans="1:6" ht="12.75">
      <c r="A10" s="86"/>
      <c r="B10" s="86"/>
      <c r="C10" s="86"/>
      <c r="D10" s="86"/>
      <c r="E10" s="86"/>
      <c r="F10" s="87" t="s">
        <v>110</v>
      </c>
    </row>
    <row r="11" spans="1:6" ht="12.75">
      <c r="A11" s="86" t="s">
        <v>116</v>
      </c>
      <c r="B11" s="86"/>
      <c r="C11" s="86"/>
      <c r="D11" s="86"/>
      <c r="E11" s="86"/>
      <c r="F11" s="87" t="s">
        <v>110</v>
      </c>
    </row>
    <row r="12" spans="1:6" ht="12.75">
      <c r="A12" s="86" t="s">
        <v>14</v>
      </c>
      <c r="B12" s="86"/>
      <c r="C12" s="86"/>
      <c r="D12" s="86"/>
      <c r="E12" s="86"/>
      <c r="F12" s="87" t="s">
        <v>110</v>
      </c>
    </row>
    <row r="13" spans="1:6" ht="14.25" customHeight="1">
      <c r="A13" s="88" t="s">
        <v>15</v>
      </c>
      <c r="B13" s="88"/>
      <c r="C13" s="88"/>
      <c r="D13" s="88"/>
      <c r="E13" s="88"/>
      <c r="F13" s="89"/>
    </row>
    <row r="14" spans="1:6" ht="12.75" customHeight="1">
      <c r="A14" s="90" t="s">
        <v>16</v>
      </c>
      <c r="B14" s="90"/>
      <c r="C14" s="90"/>
      <c r="D14" s="90"/>
      <c r="E14" s="90"/>
      <c r="F14" s="87" t="s">
        <v>110</v>
      </c>
    </row>
    <row r="15" spans="1:16" ht="12.75">
      <c r="A15" s="90" t="s">
        <v>17</v>
      </c>
      <c r="B15" s="90"/>
      <c r="C15" s="90"/>
      <c r="D15" s="90"/>
      <c r="E15" s="90"/>
      <c r="F15" s="87" t="s">
        <v>110</v>
      </c>
      <c r="M15" s="71" t="s">
        <v>18</v>
      </c>
      <c r="N15" s="71" t="s">
        <v>19</v>
      </c>
      <c r="O15" s="71" t="s">
        <v>20</v>
      </c>
      <c r="P15" s="71" t="s">
        <v>21</v>
      </c>
    </row>
    <row r="16" spans="1:16" ht="12.75">
      <c r="A16" s="90" t="s">
        <v>117</v>
      </c>
      <c r="B16" s="90"/>
      <c r="C16" s="90"/>
      <c r="D16" s="90"/>
      <c r="E16" s="90"/>
      <c r="F16" s="87" t="s">
        <v>110</v>
      </c>
      <c r="M16" s="71" t="e">
        <f>IF($K$23&lt;3,"Сверхсрочное изготовление","")</f>
        <v>#REF!</v>
      </c>
      <c r="N16" s="72" t="s">
        <v>22</v>
      </c>
      <c r="O16" s="73" t="s">
        <v>23</v>
      </c>
      <c r="P16" s="69" t="s">
        <v>24</v>
      </c>
    </row>
    <row r="17" spans="1:6" ht="12.75" customHeight="1">
      <c r="A17" s="90" t="s">
        <v>25</v>
      </c>
      <c r="B17" s="90"/>
      <c r="C17" s="90"/>
      <c r="D17" s="90"/>
      <c r="E17" s="90"/>
      <c r="F17" s="87" t="s">
        <v>110</v>
      </c>
    </row>
    <row r="18" spans="1:6" ht="12.75" customHeight="1">
      <c r="A18" s="91" t="s">
        <v>118</v>
      </c>
      <c r="B18" s="92"/>
      <c r="C18" s="92"/>
      <c r="D18" s="92"/>
      <c r="E18" s="93"/>
      <c r="F18" s="87" t="s">
        <v>110</v>
      </c>
    </row>
    <row r="19" spans="1:6" ht="12.75" customHeight="1">
      <c r="A19" s="103" t="s">
        <v>119</v>
      </c>
      <c r="B19" s="103"/>
      <c r="C19" s="103"/>
      <c r="D19" s="103"/>
      <c r="E19" s="103"/>
      <c r="F19" s="87" t="s">
        <v>110</v>
      </c>
    </row>
    <row r="20" spans="1:6" ht="12.75" customHeight="1">
      <c r="A20" s="103" t="s">
        <v>120</v>
      </c>
      <c r="B20" s="103"/>
      <c r="C20" s="103"/>
      <c r="D20" s="103"/>
      <c r="E20" s="103"/>
      <c r="F20" s="87" t="s">
        <v>110</v>
      </c>
    </row>
    <row r="21" spans="1:6" ht="12.75" customHeight="1">
      <c r="A21" s="103" t="s">
        <v>121</v>
      </c>
      <c r="B21" s="103"/>
      <c r="C21" s="103"/>
      <c r="D21" s="103"/>
      <c r="E21" s="103"/>
      <c r="F21" s="87" t="s">
        <v>110</v>
      </c>
    </row>
    <row r="22" spans="1:6" ht="12.75" customHeight="1">
      <c r="A22" s="103" t="s">
        <v>122</v>
      </c>
      <c r="B22" s="103"/>
      <c r="C22" s="103"/>
      <c r="D22" s="103"/>
      <c r="E22" s="103"/>
      <c r="F22" s="87" t="s">
        <v>110</v>
      </c>
    </row>
    <row r="23" spans="1:21" ht="12.75" customHeight="1">
      <c r="A23" s="90" t="s">
        <v>26</v>
      </c>
      <c r="B23" s="90"/>
      <c r="C23" s="90"/>
      <c r="D23" s="90"/>
      <c r="E23" s="90"/>
      <c r="F23" s="87" t="s">
        <v>110</v>
      </c>
      <c r="K23" s="69" t="e">
        <f>IF(#REF!=10,10,(IF(#REF!=8,8,(IF(#REF!=6,6,(IF(#REF!=4,4,IF(#REF!=2,2,IF(#REF!=1,1,0)))))))))</f>
        <v>#REF!</v>
      </c>
      <c r="M23" s="71" t="s">
        <v>1</v>
      </c>
      <c r="N23" s="69" t="s">
        <v>27</v>
      </c>
      <c r="O23" s="69">
        <v>1</v>
      </c>
      <c r="P23" s="69">
        <v>2</v>
      </c>
      <c r="Q23" s="69" t="e">
        <f>IF(Лист1!#REF!&lt;&gt;"Сверхсрочное изготовление",4,"")</f>
        <v>#REF!</v>
      </c>
      <c r="R23" s="69" t="e">
        <f>IF(Лист1!#REF!&lt;&gt;"Сверхсрочное изготовление",6,"")</f>
        <v>#REF!</v>
      </c>
      <c r="S23" s="69" t="e">
        <f>IF(Лист1!#REF!&lt;&gt;"Сверхсрочное изготовление",8,"")</f>
        <v>#REF!</v>
      </c>
      <c r="T23" s="69" t="e">
        <f>IF(Лист1!#REF!&lt;&gt;"Сверхсрочное изготовление",10,"")</f>
        <v>#REF!</v>
      </c>
      <c r="U23" s="69" t="e">
        <f>IF(Лист1!#REF!&lt;&gt;"Сверхсрочное изготовление","многослойной согласно приложеннию","")</f>
        <v>#REF!</v>
      </c>
    </row>
    <row r="24" spans="1:6" ht="12.75">
      <c r="A24" s="90" t="s">
        <v>28</v>
      </c>
      <c r="B24" s="90"/>
      <c r="C24" s="90"/>
      <c r="D24" s="90"/>
      <c r="E24" s="90"/>
      <c r="F24" s="87" t="s">
        <v>110</v>
      </c>
    </row>
    <row r="25" spans="1:6" ht="12.75">
      <c r="A25" s="90" t="s">
        <v>30</v>
      </c>
      <c r="B25" s="90"/>
      <c r="C25" s="90"/>
      <c r="D25" s="90"/>
      <c r="E25" s="90"/>
      <c r="F25" s="87" t="s">
        <v>110</v>
      </c>
    </row>
    <row r="26" spans="1:6" ht="12.75">
      <c r="A26" s="90" t="s">
        <v>31</v>
      </c>
      <c r="B26" s="90"/>
      <c r="C26" s="90"/>
      <c r="D26" s="90"/>
      <c r="E26" s="90"/>
      <c r="F26" s="87" t="s">
        <v>110</v>
      </c>
    </row>
    <row r="27" spans="1:29" ht="12.75">
      <c r="A27" s="90" t="s">
        <v>38</v>
      </c>
      <c r="B27" s="90"/>
      <c r="C27" s="90"/>
      <c r="D27" s="90"/>
      <c r="E27" s="90"/>
      <c r="F27" s="87" t="s">
        <v>110</v>
      </c>
      <c r="K27" s="69" t="e">
        <f>IF(#REF!="маска с 2 сторон",3,(IF(#REF!="маска сверху",2,(IF(#REF!="маска снизу",1,(IF(#REF!="без маски",0,0)))))))</f>
        <v>#REF!</v>
      </c>
      <c r="M27" s="75" t="s">
        <v>39</v>
      </c>
      <c r="N27" s="75" t="s">
        <v>40</v>
      </c>
      <c r="O27" s="75" t="s">
        <v>41</v>
      </c>
      <c r="P27" s="75" t="s">
        <v>42</v>
      </c>
      <c r="V27" s="75" t="e">
        <f>IF(Лист1!#REF!="зеленого цвета","","зеленого(типового)цвета")</f>
        <v>#REF!</v>
      </c>
      <c r="W27" s="75" t="e">
        <f>IF(AND(Лист1!#REF!&lt;&gt;0,Лист1!#REF!="белого(типового)цвета"),"","белого цвета")</f>
        <v>#REF!</v>
      </c>
      <c r="X27" s="75" t="s">
        <v>43</v>
      </c>
      <c r="Y27" s="75" t="s">
        <v>44</v>
      </c>
      <c r="Z27" s="75" t="s">
        <v>45</v>
      </c>
      <c r="AA27" s="75" t="s">
        <v>46</v>
      </c>
      <c r="AB27" s="75" t="s">
        <v>47</v>
      </c>
      <c r="AC27" s="75" t="s">
        <v>48</v>
      </c>
    </row>
    <row r="28" spans="1:29" ht="12.75">
      <c r="A28" s="90" t="s">
        <v>111</v>
      </c>
      <c r="B28" s="90"/>
      <c r="C28" s="90"/>
      <c r="D28" s="90"/>
      <c r="E28" s="90"/>
      <c r="F28" s="87" t="s">
        <v>110</v>
      </c>
      <c r="M28" s="75"/>
      <c r="N28" s="75"/>
      <c r="O28" s="75"/>
      <c r="P28" s="75"/>
      <c r="V28" s="75"/>
      <c r="W28" s="75"/>
      <c r="X28" s="75"/>
      <c r="Y28" s="75"/>
      <c r="Z28" s="75"/>
      <c r="AA28" s="75"/>
      <c r="AB28" s="75"/>
      <c r="AC28" s="75"/>
    </row>
    <row r="29" spans="1:27" ht="12.75">
      <c r="A29" s="90" t="s">
        <v>123</v>
      </c>
      <c r="B29" s="90"/>
      <c r="C29" s="90"/>
      <c r="D29" s="90"/>
      <c r="E29" s="90"/>
      <c r="F29" s="87" t="s">
        <v>110</v>
      </c>
      <c r="K29" s="69" t="e">
        <f>IF(#REF!="с 2 сторон",3,(IF(#REF!="только сверху",2,(IF(#REF!="только снизу",1,(IF(#REF!="отсутствует",0,0)))))))</f>
        <v>#REF!</v>
      </c>
      <c r="M29" s="75" t="s">
        <v>50</v>
      </c>
      <c r="N29" s="75" t="s">
        <v>51</v>
      </c>
      <c r="O29" s="75" t="s">
        <v>52</v>
      </c>
      <c r="P29" s="75" t="s">
        <v>49</v>
      </c>
      <c r="V29" s="75" t="e">
        <f>IF(Лист1!#REF!="белого цвета","","белого(типового)цвета")</f>
        <v>#REF!</v>
      </c>
      <c r="W29" s="75" t="e">
        <f>IF(Лист1!#REF!="зеленого(типового)цвета","","зеленого цвета")</f>
        <v>#REF!</v>
      </c>
      <c r="X29" s="75" t="e">
        <f>IF(Лист1!#REF!="Срочного производства","","синего цвета")</f>
        <v>#REF!</v>
      </c>
      <c r="Y29" s="75" t="e">
        <f>IF(Лист1!#REF!="Срочного производства","","красного цвета")</f>
        <v>#REF!</v>
      </c>
      <c r="Z29" s="75" t="e">
        <f>IF(Лист1!#REF!="Срочного производства","","желтого цвета")</f>
        <v>#REF!</v>
      </c>
      <c r="AA29" s="75" t="e">
        <f>IF(Лист1!#REF!="Срочного производства","","черного цвета")</f>
        <v>#REF!</v>
      </c>
    </row>
    <row r="30" spans="1:27" ht="15" customHeight="1">
      <c r="A30" s="94" t="s">
        <v>124</v>
      </c>
      <c r="B30" s="95"/>
      <c r="C30" s="95"/>
      <c r="D30" s="95"/>
      <c r="E30" s="96"/>
      <c r="F30" s="87" t="s">
        <v>110</v>
      </c>
      <c r="M30" s="75"/>
      <c r="N30" s="75"/>
      <c r="O30" s="75"/>
      <c r="P30" s="75"/>
      <c r="V30" s="75"/>
      <c r="W30" s="75"/>
      <c r="X30" s="75"/>
      <c r="Y30" s="75"/>
      <c r="Z30" s="75"/>
      <c r="AA30" s="75"/>
    </row>
    <row r="31" spans="1:27" ht="13.5" customHeight="1">
      <c r="A31" s="97" t="s">
        <v>125</v>
      </c>
      <c r="B31" s="98"/>
      <c r="C31" s="98"/>
      <c r="D31" s="98"/>
      <c r="E31" s="99"/>
      <c r="F31" s="87" t="s">
        <v>110</v>
      </c>
      <c r="M31" s="75"/>
      <c r="N31" s="75"/>
      <c r="O31" s="75"/>
      <c r="P31" s="75"/>
      <c r="V31" s="75"/>
      <c r="W31" s="75"/>
      <c r="X31" s="75"/>
      <c r="Y31" s="75"/>
      <c r="Z31" s="75"/>
      <c r="AA31" s="75"/>
    </row>
    <row r="32" spans="1:27" ht="15" customHeight="1">
      <c r="A32" s="100" t="s">
        <v>126</v>
      </c>
      <c r="B32" s="101"/>
      <c r="C32" s="101"/>
      <c r="D32" s="101"/>
      <c r="E32" s="102"/>
      <c r="F32" s="87" t="s">
        <v>110</v>
      </c>
      <c r="M32" s="75"/>
      <c r="N32" s="75"/>
      <c r="O32" s="75"/>
      <c r="P32" s="75"/>
      <c r="V32" s="75"/>
      <c r="W32" s="75"/>
      <c r="X32" s="75"/>
      <c r="Y32" s="75"/>
      <c r="Z32" s="75"/>
      <c r="AA32" s="75"/>
    </row>
    <row r="33" spans="1:17" ht="12.75">
      <c r="A33" s="90" t="s">
        <v>32</v>
      </c>
      <c r="B33" s="90"/>
      <c r="C33" s="90"/>
      <c r="D33" s="90"/>
      <c r="E33" s="90"/>
      <c r="F33" s="87" t="s">
        <v>110</v>
      </c>
      <c r="M33" s="74" t="s">
        <v>33</v>
      </c>
      <c r="N33" s="74" t="s">
        <v>34</v>
      </c>
      <c r="O33" s="69" t="s">
        <v>35</v>
      </c>
      <c r="P33" s="74" t="s">
        <v>36</v>
      </c>
      <c r="Q33" s="74" t="s">
        <v>37</v>
      </c>
    </row>
    <row r="34" spans="1:14" ht="12.75">
      <c r="A34" s="90" t="s">
        <v>53</v>
      </c>
      <c r="B34" s="90"/>
      <c r="C34" s="90"/>
      <c r="D34" s="90"/>
      <c r="E34" s="90"/>
      <c r="F34" s="87" t="s">
        <v>110</v>
      </c>
      <c r="M34" s="69" t="s">
        <v>55</v>
      </c>
      <c r="N34" s="69" t="s">
        <v>54</v>
      </c>
    </row>
    <row r="35" spans="1:41" ht="21">
      <c r="A35" s="76" t="s">
        <v>56</v>
      </c>
      <c r="B35" s="76"/>
      <c r="C35" s="76"/>
      <c r="D35" s="76"/>
      <c r="E35" s="76"/>
      <c r="F35" s="76"/>
      <c r="AL35" s="75"/>
      <c r="AM35" s="75"/>
      <c r="AN35" s="75"/>
      <c r="AO35" s="75"/>
    </row>
    <row r="36" spans="1:41" ht="12.75" customHeight="1">
      <c r="A36" s="77"/>
      <c r="B36" s="77"/>
      <c r="C36" s="77"/>
      <c r="D36" s="77"/>
      <c r="E36" s="77"/>
      <c r="F36" s="77"/>
      <c r="M36" s="78" t="s">
        <v>57</v>
      </c>
      <c r="N36" s="78"/>
      <c r="O36" s="78"/>
      <c r="P36" s="78"/>
      <c r="R36" s="79" t="s">
        <v>58</v>
      </c>
      <c r="S36" s="79"/>
      <c r="T36" s="79"/>
      <c r="U36" s="79"/>
      <c r="V36" s="80"/>
      <c r="W36" s="79" t="s">
        <v>59</v>
      </c>
      <c r="X36" s="79"/>
      <c r="Y36" s="79"/>
      <c r="Z36" s="79"/>
      <c r="AB36" s="79" t="s">
        <v>60</v>
      </c>
      <c r="AC36" s="79"/>
      <c r="AD36" s="79"/>
      <c r="AE36" s="79"/>
      <c r="AG36" s="79"/>
      <c r="AH36" s="79"/>
      <c r="AI36" s="79"/>
      <c r="AJ36" s="79"/>
      <c r="AK36" s="81"/>
      <c r="AL36" s="82"/>
      <c r="AM36" s="82"/>
      <c r="AN36" s="82"/>
      <c r="AO36" s="82"/>
    </row>
    <row r="37" spans="1:41" ht="12.75">
      <c r="A37" s="77"/>
      <c r="B37" s="77"/>
      <c r="C37" s="77"/>
      <c r="D37" s="77"/>
      <c r="E37" s="77"/>
      <c r="F37" s="77"/>
      <c r="M37" s="78"/>
      <c r="N37" s="78"/>
      <c r="O37" s="78"/>
      <c r="P37" s="78"/>
      <c r="R37" s="79"/>
      <c r="S37" s="79"/>
      <c r="T37" s="79"/>
      <c r="U37" s="79"/>
      <c r="V37" s="80"/>
      <c r="W37" s="79"/>
      <c r="X37" s="79"/>
      <c r="Y37" s="79"/>
      <c r="Z37" s="79"/>
      <c r="AB37" s="79"/>
      <c r="AC37" s="79"/>
      <c r="AD37" s="79"/>
      <c r="AE37" s="79"/>
      <c r="AG37" s="79"/>
      <c r="AH37" s="79"/>
      <c r="AI37" s="79"/>
      <c r="AJ37" s="79"/>
      <c r="AK37" s="81"/>
      <c r="AL37" s="82"/>
      <c r="AM37" s="82"/>
      <c r="AN37" s="82"/>
      <c r="AO37" s="82"/>
    </row>
    <row r="38" spans="1:41" ht="12.75">
      <c r="A38" s="77"/>
      <c r="B38" s="77"/>
      <c r="C38" s="77"/>
      <c r="D38" s="77"/>
      <c r="E38" s="77"/>
      <c r="F38" s="77"/>
      <c r="M38" s="78"/>
      <c r="N38" s="78"/>
      <c r="O38" s="78"/>
      <c r="P38" s="78"/>
      <c r="R38" s="79"/>
      <c r="S38" s="79"/>
      <c r="T38" s="79"/>
      <c r="U38" s="79"/>
      <c r="V38" s="80"/>
      <c r="W38" s="79"/>
      <c r="X38" s="79"/>
      <c r="Y38" s="79"/>
      <c r="Z38" s="79"/>
      <c r="AB38" s="79"/>
      <c r="AC38" s="79"/>
      <c r="AD38" s="79"/>
      <c r="AE38" s="79"/>
      <c r="AG38" s="79"/>
      <c r="AH38" s="79"/>
      <c r="AI38" s="79"/>
      <c r="AJ38" s="79"/>
      <c r="AK38" s="81"/>
      <c r="AL38" s="82"/>
      <c r="AM38" s="82"/>
      <c r="AN38" s="82"/>
      <c r="AO38" s="82"/>
    </row>
    <row r="39" spans="1:41" ht="12.75">
      <c r="A39" s="77"/>
      <c r="B39" s="77"/>
      <c r="C39" s="77"/>
      <c r="D39" s="77"/>
      <c r="E39" s="77"/>
      <c r="F39" s="77"/>
      <c r="M39" s="78"/>
      <c r="N39" s="78"/>
      <c r="O39" s="78"/>
      <c r="P39" s="78"/>
      <c r="R39" s="79"/>
      <c r="S39" s="79"/>
      <c r="T39" s="79"/>
      <c r="U39" s="79"/>
      <c r="V39" s="80"/>
      <c r="W39" s="79"/>
      <c r="X39" s="79"/>
      <c r="Y39" s="79"/>
      <c r="Z39" s="79"/>
      <c r="AB39" s="79"/>
      <c r="AC39" s="79"/>
      <c r="AD39" s="79"/>
      <c r="AE39" s="79"/>
      <c r="AG39" s="79"/>
      <c r="AH39" s="79"/>
      <c r="AI39" s="79"/>
      <c r="AJ39" s="79"/>
      <c r="AK39" s="81"/>
      <c r="AL39" s="82"/>
      <c r="AM39" s="82"/>
      <c r="AN39" s="82"/>
      <c r="AO39" s="82"/>
    </row>
    <row r="40" spans="1:41" ht="12.75">
      <c r="A40" s="77"/>
      <c r="B40" s="77"/>
      <c r="C40" s="77"/>
      <c r="D40" s="77"/>
      <c r="E40" s="77"/>
      <c r="F40" s="77"/>
      <c r="M40" s="78"/>
      <c r="N40" s="78"/>
      <c r="O40" s="78"/>
      <c r="P40" s="78"/>
      <c r="R40" s="79"/>
      <c r="S40" s="79"/>
      <c r="T40" s="79"/>
      <c r="U40" s="79"/>
      <c r="V40" s="80"/>
      <c r="W40" s="79"/>
      <c r="X40" s="79"/>
      <c r="Y40" s="79"/>
      <c r="Z40" s="79"/>
      <c r="AB40" s="79"/>
      <c r="AC40" s="79"/>
      <c r="AD40" s="79"/>
      <c r="AE40" s="79"/>
      <c r="AG40" s="79"/>
      <c r="AH40" s="79"/>
      <c r="AI40" s="79"/>
      <c r="AJ40" s="79"/>
      <c r="AK40" s="81"/>
      <c r="AL40" s="82"/>
      <c r="AM40" s="82"/>
      <c r="AN40" s="82"/>
      <c r="AO40" s="82"/>
    </row>
    <row r="41" spans="1:41" ht="12.75">
      <c r="A41" s="77"/>
      <c r="B41" s="77"/>
      <c r="C41" s="77"/>
      <c r="D41" s="77"/>
      <c r="E41" s="77"/>
      <c r="F41" s="77"/>
      <c r="M41" s="78"/>
      <c r="N41" s="78"/>
      <c r="O41" s="78"/>
      <c r="P41" s="78"/>
      <c r="R41" s="79"/>
      <c r="S41" s="79"/>
      <c r="T41" s="79"/>
      <c r="U41" s="79"/>
      <c r="V41" s="80"/>
      <c r="W41" s="79"/>
      <c r="X41" s="79"/>
      <c r="Y41" s="79"/>
      <c r="Z41" s="79"/>
      <c r="AB41" s="79"/>
      <c r="AC41" s="79"/>
      <c r="AD41" s="79"/>
      <c r="AE41" s="79"/>
      <c r="AG41" s="79"/>
      <c r="AH41" s="79"/>
      <c r="AI41" s="79"/>
      <c r="AJ41" s="79"/>
      <c r="AK41" s="81"/>
      <c r="AL41" s="82"/>
      <c r="AM41" s="82"/>
      <c r="AN41" s="82"/>
      <c r="AO41" s="82"/>
    </row>
    <row r="42" spans="1:41" ht="12.75">
      <c r="A42" s="77"/>
      <c r="B42" s="77"/>
      <c r="C42" s="77"/>
      <c r="D42" s="77"/>
      <c r="E42" s="77"/>
      <c r="F42" s="77"/>
      <c r="M42" s="78"/>
      <c r="N42" s="78"/>
      <c r="O42" s="78"/>
      <c r="P42" s="78"/>
      <c r="R42" s="79"/>
      <c r="S42" s="79"/>
      <c r="T42" s="79"/>
      <c r="U42" s="79"/>
      <c r="V42" s="80"/>
      <c r="W42" s="79"/>
      <c r="X42" s="79"/>
      <c r="Y42" s="79"/>
      <c r="Z42" s="79"/>
      <c r="AB42" s="79"/>
      <c r="AC42" s="79"/>
      <c r="AD42" s="79"/>
      <c r="AE42" s="79"/>
      <c r="AG42" s="79"/>
      <c r="AH42" s="79"/>
      <c r="AI42" s="79"/>
      <c r="AJ42" s="79"/>
      <c r="AK42" s="81"/>
      <c r="AL42" s="82"/>
      <c r="AM42" s="82"/>
      <c r="AN42" s="82"/>
      <c r="AO42" s="82"/>
    </row>
    <row r="43" spans="1:41" ht="4.5" customHeight="1">
      <c r="A43" s="83"/>
      <c r="B43" s="83"/>
      <c r="C43" s="83"/>
      <c r="D43" s="83"/>
      <c r="E43" s="83"/>
      <c r="F43" s="83"/>
      <c r="M43" s="78"/>
      <c r="N43" s="78"/>
      <c r="O43" s="78"/>
      <c r="P43" s="78"/>
      <c r="R43" s="79"/>
      <c r="S43" s="79"/>
      <c r="T43" s="79"/>
      <c r="U43" s="79"/>
      <c r="V43" s="80"/>
      <c r="W43" s="79"/>
      <c r="X43" s="79"/>
      <c r="Y43" s="79"/>
      <c r="Z43" s="79"/>
      <c r="AB43" s="79"/>
      <c r="AC43" s="79"/>
      <c r="AD43" s="79"/>
      <c r="AE43" s="79"/>
      <c r="AG43" s="79"/>
      <c r="AH43" s="79"/>
      <c r="AI43" s="79"/>
      <c r="AJ43" s="79"/>
      <c r="AK43" s="81"/>
      <c r="AL43" s="82"/>
      <c r="AM43" s="82"/>
      <c r="AN43" s="82"/>
      <c r="AO43" s="82"/>
    </row>
  </sheetData>
  <sheetProtection selectLockedCells="1" selectUnlockedCells="1"/>
  <mergeCells count="40">
    <mergeCell ref="A18:E18"/>
    <mergeCell ref="A19:E19"/>
    <mergeCell ref="A20:E20"/>
    <mergeCell ref="A21:E21"/>
    <mergeCell ref="A22:E22"/>
    <mergeCell ref="A30:E30"/>
    <mergeCell ref="A31:E31"/>
    <mergeCell ref="A32:E32"/>
    <mergeCell ref="A28:E28"/>
    <mergeCell ref="A36:F42"/>
    <mergeCell ref="M36:P43"/>
    <mergeCell ref="R36:U43"/>
    <mergeCell ref="W36:Z43"/>
    <mergeCell ref="AB36:AE43"/>
    <mergeCell ref="AG36:AJ43"/>
    <mergeCell ref="A43:F43"/>
    <mergeCell ref="A29:E29"/>
    <mergeCell ref="A34:E34"/>
    <mergeCell ref="A35:F35"/>
    <mergeCell ref="A26:E26"/>
    <mergeCell ref="A33:E33"/>
    <mergeCell ref="A27:E27"/>
    <mergeCell ref="A23:E23"/>
    <mergeCell ref="A24:E24"/>
    <mergeCell ref="A25:E25"/>
    <mergeCell ref="A13:E13"/>
    <mergeCell ref="A14:E14"/>
    <mergeCell ref="A15:E15"/>
    <mergeCell ref="A16:E16"/>
    <mergeCell ref="A17:E17"/>
    <mergeCell ref="A9:E10"/>
    <mergeCell ref="A11:E11"/>
    <mergeCell ref="A12:E12"/>
    <mergeCell ref="A7:E7"/>
    <mergeCell ref="A8:E8"/>
    <mergeCell ref="A4:E4"/>
    <mergeCell ref="A5:E5"/>
    <mergeCell ref="A6:E6"/>
    <mergeCell ref="A2:E2"/>
    <mergeCell ref="A3:E3"/>
  </mergeCells>
  <conditionalFormatting sqref="A8:E10">
    <cfRule type="expression" priority="251" dxfId="1" stopIfTrue="1">
      <formula>OR(Лист1!#REF!="Самовывоз из офиса в Зеленограде",Лист1!#REF!="Самовывоз из офиса в санкт-Петербурге",Лист1!#REF!="Самовывоз из офиса в Екатеринбурге")</formula>
    </cfRule>
  </conditionalFormatting>
  <printOptions/>
  <pageMargins left="0.3541666666666667" right="0.15763888888888888" top="0.39375" bottom="0.39375" header="0.5118055555555555" footer="0.511805555555555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2"/>
  <sheetViews>
    <sheetView zoomScalePageLayoutView="0" workbookViewId="0" topLeftCell="A14">
      <selection activeCell="A32" sqref="A32"/>
    </sheetView>
  </sheetViews>
  <sheetFormatPr defaultColWidth="9.00390625" defaultRowHeight="12.75"/>
  <cols>
    <col min="1" max="1" width="28.125" style="0" customWidth="1"/>
    <col min="2" max="2" width="33.625" style="0" customWidth="1"/>
    <col min="3" max="3" width="35.25390625" style="0" customWidth="1"/>
  </cols>
  <sheetData>
    <row r="1" ht="12.75">
      <c r="B1" s="2" t="s">
        <v>29</v>
      </c>
    </row>
    <row r="2" ht="12.75">
      <c r="B2" s="2" t="e">
        <f>IF(OR(AND(Лист1!$K$23&lt;=2,Лист1!#REF!="Срочное производство"),Лист1!#REF!="Серийное производство"),"FR4 Isola","")</f>
        <v>#REF!</v>
      </c>
    </row>
    <row r="3" ht="12.75">
      <c r="B3" s="2" t="e">
        <f>IF(OR(AND(Лист1!$K$23&lt;=2,Лист1!#REF!="Срочное производство"),Лист1!#REF!="Серийное производство"),"FR4 HiTg170","")</f>
        <v>#REF!</v>
      </c>
    </row>
    <row r="4" ht="12.75">
      <c r="B4" s="3" t="e">
        <f>IF(AND(Лист1!$K$23&lt;=1,Лист1!#REF!&lt;&gt;"Сверхсрочное изготовление"),"на металл. основании типовом","")</f>
        <v>#REF!</v>
      </c>
    </row>
    <row r="5" ht="12.75">
      <c r="B5" s="2" t="e">
        <f>IF(Лист1!$K$23&lt;3,"AR1000","")</f>
        <v>#REF!</v>
      </c>
    </row>
    <row r="6" ht="12.75">
      <c r="B6" s="2" t="e">
        <f>IF(Лист1!$K$23&lt;3,"25N","")</f>
        <v>#REF!</v>
      </c>
    </row>
    <row r="7" ht="12.75">
      <c r="B7" s="2" t="e">
        <f>IF(Лист1!$K$23&lt;3,"AD1000","")</f>
        <v>#REF!</v>
      </c>
    </row>
    <row r="8" ht="12.75">
      <c r="B8" s="2" t="e">
        <f>IF(Лист1!$K$23&lt;3,"RO4350B","")</f>
        <v>#REF!</v>
      </c>
    </row>
    <row r="9" ht="12.75">
      <c r="B9" s="2" t="e">
        <f>IF(Лист1!$K$23&lt;3,"RO4003C","")</f>
        <v>#REF!</v>
      </c>
    </row>
    <row r="10" ht="12.75">
      <c r="B10" s="2" t="e">
        <f>IF(Лист1!$K$23&lt;3,"AD250","")</f>
        <v>#REF!</v>
      </c>
    </row>
    <row r="11" ht="12.75">
      <c r="B11" s="2" t="e">
        <f>IF(Лист1!$K$23&lt;3,"AD600","")</f>
        <v>#REF!</v>
      </c>
    </row>
    <row r="12" ht="12.75">
      <c r="B12" s="2" t="e">
        <f>IF(Лист1!$K$23&lt;3,"AD255","")</f>
        <v>#REF!</v>
      </c>
    </row>
    <row r="13" ht="12.75">
      <c r="B13" s="2" t="e">
        <f>IF(Лист1!$K$23&lt;3,"AD450","")</f>
        <v>#REF!</v>
      </c>
    </row>
    <row r="14" ht="12.75">
      <c r="B14" s="2" t="e">
        <f>IF(AND(Лист1!$K$23&lt;=2,OR(Лист1!#REF!&lt;&gt;"Серийное производство"),Лист1!#REF!&lt;&gt;"Сверхсрочное изготовление",Лист1!#REF!&lt;&gt;"HiTech производства"),"Стеклотекстолит заказчика ВЧ","")</f>
        <v>#REF!</v>
      </c>
    </row>
    <row r="15" spans="2:12" ht="12.75">
      <c r="B15" s="2" t="e">
        <f>IF(AND(Лист1!$K$23&lt;=2,OR(Лист1!#REF!&lt;&gt;"Серийное производство"),Лист1!#REF!&lt;&gt;"Сверхсрочное изготовление",Лист1!#REF!&lt;&gt;"HiTech производства"),"Стеклотекстолит заказчика","")</f>
        <v>#REF!</v>
      </c>
      <c r="J15" s="4"/>
      <c r="L15" s="4"/>
    </row>
    <row r="16" spans="1:12" ht="12.75">
      <c r="A16">
        <v>1</v>
      </c>
      <c r="B16" s="5" t="e">
        <f>IF(AND(Лист1!$K$23&lt;=1,Лист1!#REF!&lt;&gt;"Сверхсрочное изготовление"),"T111(5052)","")</f>
        <v>#REF!</v>
      </c>
      <c r="C16">
        <v>1</v>
      </c>
      <c r="J16" s="4"/>
      <c r="L16" s="4"/>
    </row>
    <row r="17" spans="1:12" ht="12.75">
      <c r="A17">
        <v>9</v>
      </c>
      <c r="B17" s="5" t="e">
        <f>IF(AND(Лист1!$K$23&lt;=1,Лист1!#REF!&lt;&gt;"Сверхсрочное изготовление"),"IT-158","")</f>
        <v>#REF!</v>
      </c>
      <c r="C17">
        <v>1</v>
      </c>
      <c r="J17" s="4"/>
      <c r="L17" s="4"/>
    </row>
    <row r="18" spans="1:12" ht="12.75">
      <c r="A18">
        <v>6</v>
      </c>
      <c r="B18" s="5" t="e">
        <f>IF(AND(Лист1!$K$23&lt;=1,Лист1!#REF!&lt;&gt;"Сверхсрочное изготовление"),"HA-50 Type1","")</f>
        <v>#REF!</v>
      </c>
      <c r="C18">
        <v>1</v>
      </c>
      <c r="J18" s="4"/>
      <c r="L18" s="4"/>
    </row>
    <row r="19" spans="1:12" ht="12.75">
      <c r="A19">
        <v>7</v>
      </c>
      <c r="B19" s="5" t="e">
        <f>IF(AND(Лист1!$K$23&lt;=1,Лист1!#REF!&lt;&gt;"Сверхсрочное изготовление"),"HA-50 Type2","")</f>
        <v>#REF!</v>
      </c>
      <c r="C19">
        <v>1</v>
      </c>
      <c r="J19" s="4"/>
      <c r="L19" s="4"/>
    </row>
    <row r="20" spans="1:12" ht="12.75">
      <c r="A20">
        <v>8</v>
      </c>
      <c r="B20" s="5" t="e">
        <f>IF(AND(Лист1!$K$23&lt;=1,Лист1!#REF!&lt;&gt;"Сверхсрочное изготовление"),"HA-50 Type3","")</f>
        <v>#REF!</v>
      </c>
      <c r="C20">
        <v>1</v>
      </c>
      <c r="J20" s="4"/>
      <c r="L20" s="4"/>
    </row>
    <row r="21" spans="2:12" ht="12.75">
      <c r="B21" s="5" t="e">
        <f>IF(OR(Лист1!$K$23&gt;=2,Лист1!#REF!="Сверхсрочное изготовление",Лист1!#REF!="Срочное производство"),"","HA-50 Type4")</f>
        <v>#REF!</v>
      </c>
      <c r="J21" s="4"/>
      <c r="L21" s="4"/>
    </row>
    <row r="22" spans="1:12" ht="12.75">
      <c r="A22">
        <v>4</v>
      </c>
      <c r="B22" s="5" t="e">
        <f>IF(AND(Лист1!$K$23&lt;=1,Лист1!#REF!&lt;&gt;"Сверхсрочное изготовление"),"T111(5052)","")</f>
        <v>#REF!</v>
      </c>
      <c r="C22">
        <v>1</v>
      </c>
      <c r="J22" s="4"/>
      <c r="L22" s="4"/>
    </row>
    <row r="23" spans="1:12" ht="12.75">
      <c r="A23">
        <v>2</v>
      </c>
      <c r="B23" s="6" t="e">
        <f>IF(AND(Лист1!$K$23&lt;=1,Лист1!#REF!&lt;&gt;"Сверхсрочное изготовление"),"T111(6061)","")</f>
        <v>#REF!</v>
      </c>
      <c r="C23">
        <v>1</v>
      </c>
      <c r="J23" s="4"/>
      <c r="L23" s="4"/>
    </row>
    <row r="24" spans="1:12" ht="12.75">
      <c r="A24">
        <v>3</v>
      </c>
      <c r="B24" s="5" t="e">
        <f>IF(AND(Лист1!$K$23&lt;=1,Лист1!#REF!&lt;&gt;"Сверхсрочное изготовление"),"T111(1100)","")</f>
        <v>#REF!</v>
      </c>
      <c r="C24">
        <v>1</v>
      </c>
      <c r="J24" s="4"/>
      <c r="L24" s="4"/>
    </row>
    <row r="25" spans="2:12" ht="12.75">
      <c r="B25" s="5" t="e">
        <f>IF(OR(Лист1!$K$23&gt;=2,Лист1!#REF!="Сверхсрочное изготовление",Лист1!#REF!="Срочное производство"),"","T110(5052)")</f>
        <v>#REF!</v>
      </c>
      <c r="J25" s="4"/>
      <c r="L25" s="4"/>
    </row>
    <row r="26" spans="1:12" ht="12.75">
      <c r="A26">
        <v>5</v>
      </c>
      <c r="B26" s="5" t="e">
        <f>IF(AND(Лист1!$K$23&lt;=1,Лист1!#REF!&lt;&gt;"Сверхсрочное изготовление"),"T112(5052)","")</f>
        <v>#REF!</v>
      </c>
      <c r="C26">
        <v>1</v>
      </c>
      <c r="J26" s="4"/>
      <c r="L26" s="4"/>
    </row>
    <row r="27" spans="2:12" ht="12.75">
      <c r="B27" s="5" t="e">
        <f>IF(OR(Лист1!$K$23&gt;=2,Лист1!#REF!="Сверхсрочное изготовление",Лист1!#REF!="Срочное производство"),"","IT-859")</f>
        <v>#REF!</v>
      </c>
      <c r="J27" s="4"/>
      <c r="L27" s="4"/>
    </row>
    <row r="28" spans="2:12" ht="12.75">
      <c r="B28" s="5" t="e">
        <f>IF(OR(Лист1!$K$23&gt;=2,Лист1!#REF!="Сверхсрочное изготовление",Лист1!#REF!="Срочное производство"),"","IT-889")</f>
        <v>#REF!</v>
      </c>
      <c r="J28" s="4"/>
      <c r="L28" s="4"/>
    </row>
    <row r="29" spans="2:12" ht="12.75">
      <c r="B29" s="5" t="e">
        <f>IF(OR(Лист1!$K$23&gt;=2,Лист1!#REF!="Сверхсрочное изготовление",Лист1!#REF!="Срочное производство"),"","XPC")</f>
        <v>#REF!</v>
      </c>
      <c r="J29" s="4"/>
      <c r="L29" s="4"/>
    </row>
    <row r="30" spans="1:12" ht="12.75">
      <c r="A30" t="s">
        <v>1</v>
      </c>
      <c r="B30" t="s">
        <v>1</v>
      </c>
      <c r="C30" t="s">
        <v>1</v>
      </c>
      <c r="J30" s="4"/>
      <c r="L30" s="4"/>
    </row>
    <row r="31" spans="1:12" ht="12.75">
      <c r="A31" s="2" t="e">
        <f>IF(Лист1!$K$23&gt;3,"FR4 типовой","")</f>
        <v>#REF!</v>
      </c>
      <c r="B31" s="7" t="s">
        <v>61</v>
      </c>
      <c r="J31" s="4"/>
      <c r="L31" s="4"/>
    </row>
    <row r="32" spans="1:12" ht="12.75">
      <c r="A32" s="2" t="s">
        <v>29</v>
      </c>
      <c r="B32" s="8">
        <v>0.5</v>
      </c>
      <c r="C32" s="9">
        <v>18</v>
      </c>
      <c r="D32" s="10" t="e">
        <f>IF(Лист1!#REF!="Серийное производство",35,"")</f>
        <v>#REF!</v>
      </c>
      <c r="E32" s="11" t="e">
        <f>IF(Лист1!#REF!="Серийное производство",70,"")</f>
        <v>#REF!</v>
      </c>
      <c r="F32" s="11" t="e">
        <f>IF(Лист1!#REF!="Серийное производство",105,"")</f>
        <v>#REF!</v>
      </c>
      <c r="J32" s="4"/>
      <c r="L32" s="4"/>
    </row>
    <row r="33" spans="1:12" ht="12.75">
      <c r="A33" s="2" t="s">
        <v>29</v>
      </c>
      <c r="B33" s="8">
        <v>0.8</v>
      </c>
      <c r="C33" s="9">
        <v>18</v>
      </c>
      <c r="D33" s="9">
        <v>35</v>
      </c>
      <c r="E33" s="11" t="e">
        <f>IF(Лист1!#REF!="Серийное производство",70,"")</f>
        <v>#REF!</v>
      </c>
      <c r="F33" s="11" t="e">
        <f>IF(Лист1!#REF!="Серийное производство",105,"")</f>
        <v>#REF!</v>
      </c>
      <c r="J33" s="4"/>
      <c r="L33" s="4"/>
    </row>
    <row r="34" spans="1:12" ht="12.75">
      <c r="A34" s="2" t="s">
        <v>29</v>
      </c>
      <c r="B34" s="8">
        <v>1</v>
      </c>
      <c r="C34" s="9">
        <v>18</v>
      </c>
      <c r="D34" s="9">
        <v>35</v>
      </c>
      <c r="E34" s="11" t="e">
        <f>IF(Лист1!#REF!="Серийное производство",70,"")</f>
        <v>#REF!</v>
      </c>
      <c r="F34" s="11" t="e">
        <f>IF(Лист1!#REF!="Серийное производство",105,"")</f>
        <v>#REF!</v>
      </c>
      <c r="J34" s="4"/>
      <c r="L34" s="4"/>
    </row>
    <row r="35" spans="1:12" ht="12.75">
      <c r="A35" s="2" t="s">
        <v>29</v>
      </c>
      <c r="B35" s="8">
        <v>1.5</v>
      </c>
      <c r="C35" s="10" t="e">
        <f>IF(Лист1!#REF!="Серийное производство",5,"")</f>
        <v>#REF!</v>
      </c>
      <c r="D35" s="9">
        <v>18</v>
      </c>
      <c r="E35" s="9">
        <v>35</v>
      </c>
      <c r="F35" s="9">
        <v>70</v>
      </c>
      <c r="G35" s="9">
        <v>105</v>
      </c>
      <c r="J35" s="4"/>
      <c r="L35" s="4"/>
    </row>
    <row r="36" spans="1:12" ht="12.75">
      <c r="A36" s="2" t="s">
        <v>29</v>
      </c>
      <c r="B36" s="8">
        <v>2</v>
      </c>
      <c r="C36" s="9">
        <v>18</v>
      </c>
      <c r="D36" s="9">
        <v>35</v>
      </c>
      <c r="E36" s="9">
        <v>70</v>
      </c>
      <c r="F36" s="9">
        <v>105</v>
      </c>
      <c r="J36" s="4"/>
      <c r="L36" s="4"/>
    </row>
    <row r="37" spans="1:12" ht="12.75">
      <c r="A37" s="12" t="e">
        <f>IF(OR(AND(OR(Лист1!$K$23=4,Лист1!$K$23=6,Лист1!$K$23=8),Лист1!#REF!="Срочное производство"),Лист1!#REF!="Серийное производство"),"FR4 типовой","")</f>
        <v>#REF!</v>
      </c>
      <c r="B37" s="13" t="e">
        <f>IF(OR(AND(OR(Лист1!$K$23=4,Лист1!$K$23=6,Лист1!$K$23=8),Лист1!#REF!="Срочное производство"),Лист1!#REF!="Серийное производство"),1.6,"")</f>
        <v>#REF!</v>
      </c>
      <c r="C37" s="12" t="e">
        <f>IF(OR(AND(OR(Лист1!$K$23=4,Лист1!$K$23=6,Лист1!$K$23=8),Лист1!#REF!="Срочное производство"),Лист1!#REF!="Серийное производство"),18,"")</f>
        <v>#REF!</v>
      </c>
      <c r="D37" s="12" t="e">
        <f>IF(OR(AND(OR(Лист1!$K$23=4,Лист1!$K$23=6),Лист1!#REF!="Срочное производство"),Лист1!#REF!="Серийное производство"),35,"")</f>
        <v>#REF!</v>
      </c>
      <c r="E37" s="11" t="e">
        <f>IF(Лист1!#REF!="Серийное производство",70,"")</f>
        <v>#REF!</v>
      </c>
      <c r="F37" s="11" t="e">
        <f>IF(Лист1!#REF!="Серийное производство",105,"")</f>
        <v>#REF!</v>
      </c>
      <c r="G37" s="14"/>
      <c r="J37" s="4"/>
      <c r="L37" s="4"/>
    </row>
    <row r="38" spans="1:15" ht="12.75">
      <c r="A38" s="12" t="e">
        <f>IF(OR(AND(Лист1!$K$23=6,Лист1!#REF!="Срочное производство"),Лист1!#REF!="Серийное производство"),"FR4 типовой","")</f>
        <v>#REF!</v>
      </c>
      <c r="B38" s="13" t="e">
        <f>IF(OR(AND(Лист1!$K$23=6,Лист1!#REF!="Срочное производство"),Лист1!#REF!="Серийное производство"),1.2,"")</f>
        <v>#REF!</v>
      </c>
      <c r="C38" s="12" t="e">
        <f>IF(OR(AND(Лист1!$K$23=6,Лист1!#REF!="Срочное производство"),Лист1!#REF!="Серийное производство"),18,"")</f>
        <v>#REF!</v>
      </c>
      <c r="D38" s="12" t="e">
        <f>IF(OR(AND(Лист1!$K$23=6,Лист1!#REF!="Срочное производство"),Лист1!#REF!="Серийное производство"),35,"")</f>
        <v>#REF!</v>
      </c>
      <c r="E38" s="15" t="e">
        <f>IF(Лист1!#REF!="Серийное производство",70,"")</f>
        <v>#REF!</v>
      </c>
      <c r="F38" s="15" t="e">
        <f>IF(Лист1!#REF!="Серийное производство",70,"")</f>
        <v>#REF!</v>
      </c>
      <c r="G38" s="15"/>
      <c r="H38" s="16"/>
      <c r="I38" s="16"/>
      <c r="J38" s="17"/>
      <c r="L38" s="17"/>
      <c r="M38" s="16"/>
      <c r="N38" s="16"/>
      <c r="O38" s="16"/>
    </row>
    <row r="39" spans="1:15" ht="12.75">
      <c r="A39" s="12" t="e">
        <f>IF(OR(AND(OR(Лист1!$K$23=6,Лист1!$K$23=8),Лист1!#REF!="Срочное производство"),Лист1!#REF!="Серийное производство"),"FR4 типовой","")</f>
        <v>#REF!</v>
      </c>
      <c r="B39" s="13" t="e">
        <f>IF(OR(AND(OR(Лист1!$K$23=6,Лист1!$K$23=8),Лист1!#REF!="Срочное производство"),Лист1!#REF!="Серийное производство"),1.8,"")</f>
        <v>#REF!</v>
      </c>
      <c r="C39" s="12" t="e">
        <f>IF(OR(AND(OR(Лист1!$K$23=6,Лист1!$K$23=8),Лист1!#REF!="Срочное производство"),Лист1!#REF!="Серийное производство"),18,"")</f>
        <v>#REF!</v>
      </c>
      <c r="D39" s="12" t="e">
        <f>IF(OR(AND(OR(Лист1!$K$23=6,Лист1!$K$23=8),Лист1!#REF!="Срочное производство"),Лист1!#REF!="Серийное производство"),35,"")</f>
        <v>#REF!</v>
      </c>
      <c r="E39" s="15"/>
      <c r="F39" s="11" t="e">
        <f>IF(Лист1!#REF!="Серийное производство",105,"")</f>
        <v>#REF!</v>
      </c>
      <c r="G39" s="15"/>
      <c r="H39" s="16"/>
      <c r="I39" s="16"/>
      <c r="J39" s="17"/>
      <c r="K39" s="16"/>
      <c r="L39" s="17"/>
      <c r="M39" s="16"/>
      <c r="N39" s="16"/>
      <c r="O39" s="16"/>
    </row>
    <row r="40" spans="1:12" ht="12.75">
      <c r="A40" s="10" t="e">
        <f>IF(Лист1!#REF!="Серийное производство","FR4 типовой","")</f>
        <v>#REF!</v>
      </c>
      <c r="B40" s="10" t="e">
        <f>IF(Лист1!#REF!="Серийное производство",3,"")</f>
        <v>#REF!</v>
      </c>
      <c r="C40" s="10" t="e">
        <f>IF(Лист1!#REF!="Серийное производство",18,"")</f>
        <v>#REF!</v>
      </c>
      <c r="D40" s="10" t="e">
        <f>IF(Лист1!#REF!="Серийное производство",35,"")</f>
        <v>#REF!</v>
      </c>
      <c r="F40" s="9">
        <v>105</v>
      </c>
      <c r="G40" s="11" t="e">
        <f>IF(Лист1!#REF!="Серийное производство",210,"")</f>
        <v>#REF!</v>
      </c>
      <c r="J40" s="4"/>
      <c r="L40" s="4"/>
    </row>
    <row r="41" spans="1:15" ht="12.75">
      <c r="A41" s="10" t="e">
        <f>IF(Лист1!#REF!="Серийное производство","FR4 типовой","")</f>
        <v>#REF!</v>
      </c>
      <c r="B41" s="18" t="e">
        <f>IF(Лист1!#REF!="Серийное производство",2.5,"")</f>
        <v>#REF!</v>
      </c>
      <c r="C41" s="10" t="e">
        <f>IF(Лист1!#REF!="Серийное производство",18,"")</f>
        <v>#REF!</v>
      </c>
      <c r="D41" s="10" t="e">
        <f>IF(Лист1!#REF!="Серийное производство",35,"")</f>
        <v>#REF!</v>
      </c>
      <c r="E41" s="11" t="e">
        <f>IF(Лист1!#REF!="Серийное производство",70,"")</f>
        <v>#REF!</v>
      </c>
      <c r="F41" s="11" t="e">
        <f>IF(Лист1!#REF!="Серийное производство",105,"")</f>
        <v>#REF!</v>
      </c>
      <c r="G41" s="15"/>
      <c r="H41" s="16"/>
      <c r="I41" s="16"/>
      <c r="J41" s="17"/>
      <c r="K41" s="16"/>
      <c r="L41" s="17"/>
      <c r="M41" s="16"/>
      <c r="N41" s="16"/>
      <c r="O41" s="16"/>
    </row>
    <row r="42" spans="1:15" ht="12.75">
      <c r="A42" s="10" t="e">
        <f>IF(Лист1!#REF!="Серийное производство","FR4 типовой","")</f>
        <v>#REF!</v>
      </c>
      <c r="B42" s="18" t="e">
        <f>IF(Лист1!#REF!="Серийное производство",4,"")</f>
        <v>#REF!</v>
      </c>
      <c r="C42" s="10" t="e">
        <f>IF(Лист1!#REF!="Серийное производство",18,"")</f>
        <v>#REF!</v>
      </c>
      <c r="D42" s="15"/>
      <c r="E42" s="15"/>
      <c r="F42" s="15"/>
      <c r="G42" s="11" t="e">
        <f>IF(Лист1!#REF!="Серийное производство",210,"")</f>
        <v>#REF!</v>
      </c>
      <c r="H42" s="16"/>
      <c r="I42" s="16"/>
      <c r="J42" s="17"/>
      <c r="K42" s="16"/>
      <c r="L42" s="17"/>
      <c r="M42" s="16"/>
      <c r="N42" s="16"/>
      <c r="O42" s="16"/>
    </row>
    <row r="43" spans="1:15" ht="12.75">
      <c r="A43" s="10" t="e">
        <f>IF(Лист1!#REF!="Серийное производство","FR4 типовой","")</f>
        <v>#REF!</v>
      </c>
      <c r="B43" s="19" t="e">
        <f>IF(Лист1!#REF!="Серийное производство",0.1,"")</f>
        <v>#REF!</v>
      </c>
      <c r="C43" s="10" t="e">
        <f>IF(Лист1!#REF!="Серийное производство",18,"")</f>
        <v>#REF!</v>
      </c>
      <c r="D43" s="10" t="e">
        <f>IF(Лист1!#REF!="Серийное производство",35,"")</f>
        <v>#REF!</v>
      </c>
      <c r="E43" s="20"/>
      <c r="F43" s="20"/>
      <c r="G43" s="20"/>
      <c r="H43" s="21"/>
      <c r="I43" s="21"/>
      <c r="J43" s="22"/>
      <c r="K43" s="16"/>
      <c r="L43" s="22"/>
      <c r="M43" s="21"/>
      <c r="N43" s="21"/>
      <c r="O43" s="21"/>
    </row>
    <row r="44" spans="1:15" ht="12.75">
      <c r="A44" s="10" t="e">
        <f>IF(Лист1!#REF!="Серийное производство","FR4 типовой","")</f>
        <v>#REF!</v>
      </c>
      <c r="B44" s="18" t="e">
        <f>IF(Лист1!#REF!="Серийное производство",0.15,"")</f>
        <v>#REF!</v>
      </c>
      <c r="C44" s="10" t="e">
        <f>IF(Лист1!#REF!="Серийное производство",18,"")</f>
        <v>#REF!</v>
      </c>
      <c r="D44" s="15"/>
      <c r="E44" s="15"/>
      <c r="F44" s="15"/>
      <c r="G44" s="15"/>
      <c r="H44" s="16"/>
      <c r="I44" s="16"/>
      <c r="J44" s="17"/>
      <c r="K44" s="21"/>
      <c r="L44" s="17"/>
      <c r="M44" s="16"/>
      <c r="N44" s="16"/>
      <c r="O44" s="16"/>
    </row>
    <row r="45" spans="1:15" ht="12.75">
      <c r="A45" s="10" t="e">
        <f>IF(Лист1!#REF!="Серийное производство","FR4 типовой","")</f>
        <v>#REF!</v>
      </c>
      <c r="B45" s="18" t="e">
        <f>IF(Лист1!#REF!="Серийное производство",0.2,"")</f>
        <v>#REF!</v>
      </c>
      <c r="C45" s="10" t="e">
        <f>IF(Лист1!#REF!="Серийное производство",18,"")</f>
        <v>#REF!</v>
      </c>
      <c r="D45" s="10" t="e">
        <f>IF(Лист1!#REF!="Серийное производство",35,"")</f>
        <v>#REF!</v>
      </c>
      <c r="E45" s="15"/>
      <c r="F45" s="11" t="e">
        <f>IF(Лист1!#REF!="Серийное производство",105,"")</f>
        <v>#REF!</v>
      </c>
      <c r="G45" s="15"/>
      <c r="H45" s="16"/>
      <c r="I45" s="16"/>
      <c r="J45" s="17"/>
      <c r="K45" s="16"/>
      <c r="L45" s="17"/>
      <c r="M45" s="16"/>
      <c r="N45" s="16"/>
      <c r="O45" s="16"/>
    </row>
    <row r="46" spans="1:15" ht="12.75">
      <c r="A46" s="10" t="e">
        <f>IF(Лист1!#REF!="Серийное производство","FR4 типовой","")</f>
        <v>#REF!</v>
      </c>
      <c r="B46" s="18" t="e">
        <f>IF(Лист1!#REF!="Серийное производство",0.25,"")</f>
        <v>#REF!</v>
      </c>
      <c r="C46" s="10" t="e">
        <f>IF(Лист1!#REF!="Серийное производство",18,"")</f>
        <v>#REF!</v>
      </c>
      <c r="D46" s="10" t="e">
        <f>IF(Лист1!#REF!="Серийное производство",35,"")</f>
        <v>#REF!</v>
      </c>
      <c r="E46" s="15"/>
      <c r="F46" s="15"/>
      <c r="G46" s="15"/>
      <c r="H46" s="16"/>
      <c r="I46" s="16"/>
      <c r="J46" s="17"/>
      <c r="K46" s="16"/>
      <c r="L46" s="17"/>
      <c r="M46" s="16"/>
      <c r="N46" s="16"/>
      <c r="O46" s="16"/>
    </row>
    <row r="47" spans="1:15" ht="12.75">
      <c r="A47" s="10" t="e">
        <f>IF(Лист1!#REF!="Серийное производство","FR4 типовой","")</f>
        <v>#REF!</v>
      </c>
      <c r="B47" s="18" t="e">
        <f>IF(Лист1!#REF!="Серийное производство",0.3,"")</f>
        <v>#REF!</v>
      </c>
      <c r="C47" s="10" t="e">
        <f>IF(Лист1!#REF!="Серийное производство",18,"")</f>
        <v>#REF!</v>
      </c>
      <c r="D47" s="10" t="e">
        <f>IF(Лист1!#REF!="Серийное производство",35,"")</f>
        <v>#REF!</v>
      </c>
      <c r="E47" s="11" t="e">
        <f>IF(Лист1!#REF!="Серийное производство",70,"")</f>
        <v>#REF!</v>
      </c>
      <c r="F47" s="11" t="e">
        <f>IF(Лист1!#REF!="Серийное производство",105,"")</f>
        <v>#REF!</v>
      </c>
      <c r="G47" s="15"/>
      <c r="H47" s="16"/>
      <c r="I47" s="16"/>
      <c r="J47" s="17"/>
      <c r="K47" s="16"/>
      <c r="L47" s="17"/>
      <c r="M47" s="16"/>
      <c r="N47" s="16"/>
      <c r="O47" s="16"/>
    </row>
    <row r="48" spans="1:15" ht="12.75">
      <c r="A48" s="10" t="e">
        <f>IF(Лист1!#REF!="Серийное производство","FR4 типовой","")</f>
        <v>#REF!</v>
      </c>
      <c r="B48" s="18" t="e">
        <f>IF(Лист1!#REF!="Серийное производство",0.36,"")</f>
        <v>#REF!</v>
      </c>
      <c r="C48" s="10" t="e">
        <f>IF(Лист1!#REF!="Серийное производство",35,"")</f>
        <v>#REF!</v>
      </c>
      <c r="D48" s="15"/>
      <c r="E48" s="15"/>
      <c r="F48" s="11" t="e">
        <f>IF(Лист1!#REF!="Серийное производство",105,"")</f>
        <v>#REF!</v>
      </c>
      <c r="G48" s="11" t="e">
        <f>IF(Лист1!#REF!="Серийное производство",170,"")</f>
        <v>#REF!</v>
      </c>
      <c r="H48" s="16"/>
      <c r="I48" s="16"/>
      <c r="J48" s="17"/>
      <c r="K48" s="16"/>
      <c r="L48" s="17"/>
      <c r="M48" s="16"/>
      <c r="N48" s="16"/>
      <c r="O48" s="16"/>
    </row>
    <row r="49" spans="1:15" ht="12.75">
      <c r="A49" s="10" t="e">
        <f>IF(Лист1!#REF!="Серийное производство","FR4 типовой","")</f>
        <v>#REF!</v>
      </c>
      <c r="B49" s="18" t="e">
        <f>IF(Лист1!#REF!="Серийное производство",0.4,"")</f>
        <v>#REF!</v>
      </c>
      <c r="C49" s="10" t="e">
        <f>IF(Лист1!#REF!="Серийное производство",18,"")</f>
        <v>#REF!</v>
      </c>
      <c r="D49" s="15"/>
      <c r="E49" s="15"/>
      <c r="F49" s="15"/>
      <c r="G49" s="15"/>
      <c r="H49" s="16"/>
      <c r="I49" s="16"/>
      <c r="J49" s="17"/>
      <c r="K49" s="16"/>
      <c r="L49" s="17"/>
      <c r="M49" s="16"/>
      <c r="N49" s="16"/>
      <c r="O49" s="16"/>
    </row>
    <row r="50" spans="1:15" ht="12.75">
      <c r="A50" s="10" t="e">
        <f>IF(Лист1!#REF!="Серийное производство","FR4 типовой","")</f>
        <v>#REF!</v>
      </c>
      <c r="B50" s="18" t="e">
        <f>IF(Лист1!#REF!="Серийное производство",0.6,"")</f>
        <v>#REF!</v>
      </c>
      <c r="C50" s="10" t="e">
        <f>IF(Лист1!#REF!="Серийное производство",18,"")</f>
        <v>#REF!</v>
      </c>
      <c r="D50" s="10" t="e">
        <f>IF(Лист1!#REF!="Серийное производство",35,"")</f>
        <v>#REF!</v>
      </c>
      <c r="E50" s="11" t="e">
        <f>IF(Лист1!#REF!="Серийное производство",70,"")</f>
        <v>#REF!</v>
      </c>
      <c r="F50" s="11" t="e">
        <f>IF(Лист1!#REF!="Серийное производство",105,"")</f>
        <v>#REF!</v>
      </c>
      <c r="G50" s="15"/>
      <c r="H50" s="16"/>
      <c r="I50" s="16"/>
      <c r="J50" s="17"/>
      <c r="K50" s="16"/>
      <c r="L50" s="17"/>
      <c r="M50" s="16"/>
      <c r="N50" s="16"/>
      <c r="O50" s="16"/>
    </row>
    <row r="51" spans="1:15" ht="12.75">
      <c r="A51" s="10" t="e">
        <f>IF(Лист1!#REF!="Серийное производство","FR4 типовой","")</f>
        <v>#REF!</v>
      </c>
      <c r="B51" s="18" t="e">
        <f>IF(Лист1!#REF!="Серийное производство",0.762,"")</f>
        <v>#REF!</v>
      </c>
      <c r="C51" s="11" t="e">
        <f>IF(Лист1!#REF!="Серийное производство",70,"")</f>
        <v>#REF!</v>
      </c>
      <c r="D51" s="15"/>
      <c r="E51" s="15"/>
      <c r="F51" s="15"/>
      <c r="G51" s="15"/>
      <c r="H51" s="16"/>
      <c r="I51" s="16"/>
      <c r="J51" s="17"/>
      <c r="K51" s="16"/>
      <c r="L51" s="17"/>
      <c r="M51" s="16"/>
      <c r="N51" s="16"/>
      <c r="O51" s="16"/>
    </row>
    <row r="52" spans="1:15" ht="12.75">
      <c r="A52" s="2" t="s">
        <v>62</v>
      </c>
      <c r="B52" s="8">
        <v>0.208</v>
      </c>
      <c r="C52" s="9">
        <v>18</v>
      </c>
      <c r="D52" s="9">
        <v>35</v>
      </c>
      <c r="H52" s="16"/>
      <c r="I52" s="16"/>
      <c r="J52" s="17"/>
      <c r="K52" s="16"/>
      <c r="L52" s="17"/>
      <c r="M52" s="16"/>
      <c r="N52" s="16"/>
      <c r="O52" s="16"/>
    </row>
    <row r="53" spans="1:15" ht="12.75">
      <c r="A53" s="2" t="s">
        <v>62</v>
      </c>
      <c r="B53" s="8">
        <v>0.305</v>
      </c>
      <c r="C53" s="9">
        <v>18</v>
      </c>
      <c r="D53" s="9">
        <v>35</v>
      </c>
      <c r="H53" s="16"/>
      <c r="I53" s="16"/>
      <c r="J53" s="17"/>
      <c r="K53" s="16"/>
      <c r="L53" s="17"/>
      <c r="M53" s="16"/>
      <c r="N53" s="16"/>
      <c r="O53" s="16"/>
    </row>
    <row r="54" spans="1:15" ht="12.75">
      <c r="A54" s="2" t="s">
        <v>62</v>
      </c>
      <c r="B54" s="8">
        <v>0.406</v>
      </c>
      <c r="C54" s="9">
        <v>18</v>
      </c>
      <c r="D54" s="9">
        <v>35</v>
      </c>
      <c r="H54" s="16"/>
      <c r="I54" s="16"/>
      <c r="J54" s="17"/>
      <c r="K54" s="16"/>
      <c r="L54" s="17"/>
      <c r="M54" s="16"/>
      <c r="N54" s="16"/>
      <c r="O54" s="16"/>
    </row>
    <row r="55" spans="1:15" ht="12.75">
      <c r="A55" s="2" t="s">
        <v>62</v>
      </c>
      <c r="B55" s="8">
        <v>0.508</v>
      </c>
      <c r="C55" s="9">
        <v>18</v>
      </c>
      <c r="D55" s="9">
        <v>35</v>
      </c>
      <c r="H55" s="16"/>
      <c r="I55" s="16"/>
      <c r="J55" s="17"/>
      <c r="K55" s="16"/>
      <c r="L55" s="17"/>
      <c r="M55" s="16"/>
      <c r="N55" s="16"/>
      <c r="O55" s="16"/>
    </row>
    <row r="56" spans="1:15" ht="12.75">
      <c r="A56" s="2" t="s">
        <v>62</v>
      </c>
      <c r="B56" s="8">
        <v>0.813</v>
      </c>
      <c r="C56" s="9">
        <v>18</v>
      </c>
      <c r="D56" s="9">
        <v>35</v>
      </c>
      <c r="H56" s="16"/>
      <c r="I56" s="16"/>
      <c r="J56" s="17"/>
      <c r="K56" s="16"/>
      <c r="L56" s="17"/>
      <c r="M56" s="16"/>
      <c r="N56" s="16"/>
      <c r="O56" s="16"/>
    </row>
    <row r="57" spans="1:15" ht="12.75">
      <c r="A57" s="2" t="s">
        <v>62</v>
      </c>
      <c r="B57" s="8">
        <v>1.524</v>
      </c>
      <c r="C57" s="9">
        <v>18</v>
      </c>
      <c r="D57" s="9">
        <v>35</v>
      </c>
      <c r="H57" s="16"/>
      <c r="I57" s="16"/>
      <c r="J57" s="17"/>
      <c r="K57" s="16"/>
      <c r="L57" s="17"/>
      <c r="M57" s="16"/>
      <c r="N57" s="16"/>
      <c r="O57" s="16"/>
    </row>
    <row r="58" spans="1:15" ht="12.75">
      <c r="A58" s="23" t="s">
        <v>63</v>
      </c>
      <c r="B58" s="24">
        <v>0.2</v>
      </c>
      <c r="C58" s="25">
        <v>35</v>
      </c>
      <c r="D58" s="26"/>
      <c r="E58" s="26"/>
      <c r="F58" s="26"/>
      <c r="G58" s="26"/>
      <c r="H58" s="16"/>
      <c r="I58" s="16"/>
      <c r="J58" s="17"/>
      <c r="K58" s="16"/>
      <c r="L58" s="17"/>
      <c r="M58" s="16"/>
      <c r="N58" s="16"/>
      <c r="O58" s="16"/>
    </row>
    <row r="59" spans="1:15" ht="12.75">
      <c r="A59" s="23" t="s">
        <v>63</v>
      </c>
      <c r="B59" s="24">
        <v>0.51</v>
      </c>
      <c r="C59" s="25">
        <v>18</v>
      </c>
      <c r="D59" s="25">
        <v>35</v>
      </c>
      <c r="E59" s="25">
        <v>70</v>
      </c>
      <c r="F59" s="26"/>
      <c r="G59" s="26"/>
      <c r="H59" s="16"/>
      <c r="I59" s="16"/>
      <c r="J59" s="17"/>
      <c r="K59" s="16"/>
      <c r="L59" s="17"/>
      <c r="M59" s="16"/>
      <c r="N59" s="16"/>
      <c r="O59" s="16"/>
    </row>
    <row r="60" spans="1:15" ht="12.75">
      <c r="A60" s="23" t="s">
        <v>63</v>
      </c>
      <c r="B60" s="24">
        <v>0.76</v>
      </c>
      <c r="C60" s="25">
        <v>18</v>
      </c>
      <c r="D60" s="25">
        <v>35</v>
      </c>
      <c r="E60" s="26"/>
      <c r="F60" s="26"/>
      <c r="G60" s="26"/>
      <c r="H60" s="16"/>
      <c r="I60" s="16"/>
      <c r="J60" s="17"/>
      <c r="K60" s="16"/>
      <c r="L60" s="17"/>
      <c r="M60" s="16"/>
      <c r="N60" s="16"/>
      <c r="O60" s="16"/>
    </row>
    <row r="61" spans="1:15" ht="12.75">
      <c r="A61" s="23" t="s">
        <v>63</v>
      </c>
      <c r="B61" s="24">
        <v>0.79</v>
      </c>
      <c r="C61" s="25">
        <v>18</v>
      </c>
      <c r="D61" s="25">
        <v>35</v>
      </c>
      <c r="E61" s="26"/>
      <c r="F61" s="26"/>
      <c r="G61" s="26"/>
      <c r="H61" s="16"/>
      <c r="I61" s="16"/>
      <c r="J61" s="17"/>
      <c r="K61" s="16"/>
      <c r="L61" s="17"/>
      <c r="M61" s="16"/>
      <c r="N61" s="16"/>
      <c r="O61" s="16"/>
    </row>
    <row r="62" spans="1:15" ht="12.75">
      <c r="A62" s="23" t="s">
        <v>63</v>
      </c>
      <c r="B62" s="24">
        <v>1.14</v>
      </c>
      <c r="C62" s="25">
        <v>18</v>
      </c>
      <c r="D62" s="25">
        <v>35</v>
      </c>
      <c r="E62" s="25">
        <v>70</v>
      </c>
      <c r="F62" s="26"/>
      <c r="G62" s="26"/>
      <c r="H62" s="16"/>
      <c r="I62" s="16"/>
      <c r="J62" s="17"/>
      <c r="K62" s="16"/>
      <c r="L62" s="17"/>
      <c r="M62" s="16"/>
      <c r="N62" s="16"/>
      <c r="O62" s="16"/>
    </row>
    <row r="63" spans="1:15" ht="12.75">
      <c r="A63" s="23" t="s">
        <v>63</v>
      </c>
      <c r="B63" s="24">
        <v>1.5</v>
      </c>
      <c r="C63" s="25">
        <v>18</v>
      </c>
      <c r="D63" s="26"/>
      <c r="E63" s="26"/>
      <c r="F63" s="26"/>
      <c r="G63" s="26"/>
      <c r="H63" s="16"/>
      <c r="I63" s="16"/>
      <c r="J63" s="17"/>
      <c r="K63" s="16"/>
      <c r="L63" s="17"/>
      <c r="M63" s="16"/>
      <c r="N63" s="16"/>
      <c r="O63" s="16"/>
    </row>
    <row r="64" spans="1:15" ht="12.75">
      <c r="A64" s="23" t="s">
        <v>63</v>
      </c>
      <c r="B64" s="24">
        <v>1.52</v>
      </c>
      <c r="C64" s="25">
        <v>18</v>
      </c>
      <c r="D64" s="25">
        <v>35</v>
      </c>
      <c r="E64" s="25">
        <v>70</v>
      </c>
      <c r="F64" s="26"/>
      <c r="G64" s="26"/>
      <c r="H64" s="16"/>
      <c r="I64" s="16"/>
      <c r="J64" s="17"/>
      <c r="K64" s="16"/>
      <c r="L64" s="17"/>
      <c r="M64" s="16"/>
      <c r="N64" s="16"/>
      <c r="O64" s="16"/>
    </row>
    <row r="65" spans="1:15" ht="12.75">
      <c r="A65" s="23" t="s">
        <v>63</v>
      </c>
      <c r="B65" s="24">
        <v>1.58</v>
      </c>
      <c r="C65" s="25">
        <v>18</v>
      </c>
      <c r="D65" s="25">
        <v>35</v>
      </c>
      <c r="E65" s="26"/>
      <c r="F65" s="26"/>
      <c r="G65" s="26"/>
      <c r="H65" s="16"/>
      <c r="I65" s="16"/>
      <c r="J65" s="17"/>
      <c r="K65" s="16"/>
      <c r="L65" s="17"/>
      <c r="M65" s="16"/>
      <c r="N65" s="16"/>
      <c r="O65" s="16"/>
    </row>
    <row r="66" spans="1:15" ht="12.75">
      <c r="A66" s="23" t="s">
        <v>63</v>
      </c>
      <c r="B66" s="24">
        <v>2.36</v>
      </c>
      <c r="C66" s="25">
        <v>18</v>
      </c>
      <c r="D66" s="25">
        <v>35</v>
      </c>
      <c r="E66" s="25">
        <v>70</v>
      </c>
      <c r="F66" s="26"/>
      <c r="G66" s="26"/>
      <c r="H66" s="16"/>
      <c r="I66" s="16"/>
      <c r="J66" s="17"/>
      <c r="K66" s="16"/>
      <c r="L66" s="17"/>
      <c r="M66" s="16"/>
      <c r="N66" s="16"/>
      <c r="O66" s="16"/>
    </row>
    <row r="67" spans="1:15" ht="12.75">
      <c r="A67" s="2" t="s">
        <v>64</v>
      </c>
      <c r="B67" s="8">
        <v>0.508</v>
      </c>
      <c r="C67" s="9">
        <v>18</v>
      </c>
      <c r="H67" s="16"/>
      <c r="I67" s="16"/>
      <c r="J67" s="17"/>
      <c r="K67" s="16"/>
      <c r="L67" s="17"/>
      <c r="M67" s="16"/>
      <c r="N67" s="16"/>
      <c r="O67" s="16"/>
    </row>
    <row r="68" spans="1:15" ht="12.75">
      <c r="A68" s="2" t="s">
        <v>64</v>
      </c>
      <c r="B68" s="8">
        <v>0.61</v>
      </c>
      <c r="C68" s="9">
        <v>18</v>
      </c>
      <c r="H68" s="16"/>
      <c r="I68" s="16"/>
      <c r="J68" s="16"/>
      <c r="K68" s="16"/>
      <c r="L68" s="16"/>
      <c r="M68" s="16"/>
      <c r="N68" s="16"/>
      <c r="O68" s="16"/>
    </row>
    <row r="69" spans="1:15" ht="12.75">
      <c r="A69" s="2" t="s">
        <v>64</v>
      </c>
      <c r="B69" s="8">
        <v>0.635</v>
      </c>
      <c r="C69" s="9">
        <v>18</v>
      </c>
      <c r="H69" s="16"/>
      <c r="I69" s="16"/>
      <c r="J69" s="16"/>
      <c r="K69" s="16"/>
      <c r="L69" s="16"/>
      <c r="M69" s="16"/>
      <c r="N69" s="16"/>
      <c r="O69" s="16"/>
    </row>
    <row r="70" spans="1:15" ht="12.75">
      <c r="A70" s="2" t="s">
        <v>65</v>
      </c>
      <c r="B70" s="8">
        <v>0.508</v>
      </c>
      <c r="C70" s="9">
        <v>18</v>
      </c>
      <c r="H70" s="16"/>
      <c r="I70" s="16"/>
      <c r="J70" s="16"/>
      <c r="K70" s="16"/>
      <c r="L70" s="16"/>
      <c r="M70" s="16"/>
      <c r="N70" s="16"/>
      <c r="O70" s="16"/>
    </row>
    <row r="71" spans="1:15" ht="12.75">
      <c r="A71" s="2" t="s">
        <v>65</v>
      </c>
      <c r="B71" s="8">
        <v>0.61</v>
      </c>
      <c r="C71" s="9">
        <v>18</v>
      </c>
      <c r="H71" s="16"/>
      <c r="I71" s="16"/>
      <c r="J71" s="16"/>
      <c r="K71" s="16"/>
      <c r="L71" s="16"/>
      <c r="M71" s="16"/>
      <c r="N71" s="16"/>
      <c r="O71" s="16"/>
    </row>
    <row r="72" spans="1:15" ht="12.75">
      <c r="A72" s="2" t="s">
        <v>65</v>
      </c>
      <c r="B72" s="8">
        <v>0.762</v>
      </c>
      <c r="C72" s="9">
        <v>18</v>
      </c>
      <c r="H72" s="16"/>
      <c r="I72" s="16"/>
      <c r="J72" s="16"/>
      <c r="K72" s="16"/>
      <c r="L72" s="16"/>
      <c r="M72" s="16"/>
      <c r="N72" s="16"/>
      <c r="O72" s="16"/>
    </row>
    <row r="73" spans="1:15" ht="12.75">
      <c r="A73" s="2" t="s">
        <v>65</v>
      </c>
      <c r="B73" s="8">
        <v>1.524</v>
      </c>
      <c r="C73" s="9">
        <v>18</v>
      </c>
      <c r="H73" s="16"/>
      <c r="I73" s="16"/>
      <c r="J73" s="16"/>
      <c r="K73" s="16"/>
      <c r="L73" s="16"/>
      <c r="M73" s="16"/>
      <c r="N73" s="16"/>
      <c r="O73" s="16"/>
    </row>
    <row r="74" spans="1:15" ht="12.75">
      <c r="A74" s="2" t="s">
        <v>66</v>
      </c>
      <c r="B74" s="8">
        <v>0.508</v>
      </c>
      <c r="C74" s="9">
        <v>18</v>
      </c>
      <c r="H74" s="16"/>
      <c r="I74" s="16"/>
      <c r="J74" s="16"/>
      <c r="K74" s="16"/>
      <c r="L74" s="16"/>
      <c r="M74" s="16"/>
      <c r="N74" s="16"/>
      <c r="O74" s="16"/>
    </row>
    <row r="75" spans="1:15" ht="12.75">
      <c r="A75" s="2" t="s">
        <v>66</v>
      </c>
      <c r="B75" s="8">
        <v>0.635</v>
      </c>
      <c r="C75" s="9">
        <v>18</v>
      </c>
      <c r="H75" s="16"/>
      <c r="I75" s="16"/>
      <c r="J75" s="16"/>
      <c r="K75" s="16"/>
      <c r="L75" s="16"/>
      <c r="M75" s="16"/>
      <c r="N75" s="16"/>
      <c r="O75" s="16"/>
    </row>
    <row r="76" spans="1:15" ht="12.75">
      <c r="A76" s="2" t="s">
        <v>66</v>
      </c>
      <c r="B76" s="8">
        <v>1.27</v>
      </c>
      <c r="C76" s="9">
        <v>18</v>
      </c>
      <c r="H76" s="16"/>
      <c r="I76" s="16"/>
      <c r="J76" s="16"/>
      <c r="K76" s="16"/>
      <c r="L76" s="16"/>
      <c r="M76" s="16"/>
      <c r="N76" s="16"/>
      <c r="O76" s="16"/>
    </row>
    <row r="77" spans="1:15" ht="12.75">
      <c r="A77" s="2" t="s">
        <v>67</v>
      </c>
      <c r="B77" s="8">
        <v>0.254</v>
      </c>
      <c r="C77" s="9">
        <v>18</v>
      </c>
      <c r="D77" s="9">
        <v>35</v>
      </c>
      <c r="H77" s="16"/>
      <c r="I77" s="16"/>
      <c r="J77" s="16"/>
      <c r="K77" s="16"/>
      <c r="L77" s="16"/>
      <c r="M77" s="16"/>
      <c r="N77" s="16"/>
      <c r="O77" s="16"/>
    </row>
    <row r="78" spans="1:15" ht="12.75">
      <c r="A78" s="2" t="s">
        <v>67</v>
      </c>
      <c r="B78" s="8">
        <v>0.338</v>
      </c>
      <c r="C78" s="9">
        <v>18</v>
      </c>
      <c r="D78" s="9">
        <v>35</v>
      </c>
      <c r="H78" s="16"/>
      <c r="I78" s="16"/>
      <c r="J78" s="16"/>
      <c r="K78" s="16"/>
      <c r="L78" s="16"/>
      <c r="M78" s="16"/>
      <c r="N78" s="16"/>
      <c r="O78" s="16"/>
    </row>
    <row r="79" spans="1:15" ht="12.75">
      <c r="A79" s="2" t="s">
        <v>67</v>
      </c>
      <c r="B79" s="8">
        <v>0.508</v>
      </c>
      <c r="C79" s="9">
        <v>18</v>
      </c>
      <c r="D79" s="9">
        <v>35</v>
      </c>
      <c r="H79" s="16"/>
      <c r="I79" s="16"/>
      <c r="J79" s="16"/>
      <c r="K79" s="16"/>
      <c r="L79" s="16"/>
      <c r="M79" s="16"/>
      <c r="N79" s="16"/>
      <c r="O79" s="16"/>
    </row>
    <row r="80" spans="1:15" ht="12.75">
      <c r="A80" s="2" t="s">
        <v>67</v>
      </c>
      <c r="B80" s="8">
        <v>0.762</v>
      </c>
      <c r="C80" s="9">
        <v>18</v>
      </c>
      <c r="D80" s="9">
        <v>35</v>
      </c>
      <c r="H80" s="16"/>
      <c r="I80" s="16"/>
      <c r="J80" s="16"/>
      <c r="K80" s="16"/>
      <c r="L80" s="16"/>
      <c r="M80" s="16"/>
      <c r="N80" s="16"/>
      <c r="O80" s="16"/>
    </row>
    <row r="81" spans="1:15" ht="12.75">
      <c r="A81" s="2" t="s">
        <v>67</v>
      </c>
      <c r="B81" s="8">
        <v>1.524</v>
      </c>
      <c r="C81" s="9">
        <v>18</v>
      </c>
      <c r="D81" s="9">
        <v>35</v>
      </c>
      <c r="H81" s="16"/>
      <c r="I81" s="16"/>
      <c r="J81" s="16"/>
      <c r="K81" s="16"/>
      <c r="L81" s="16"/>
      <c r="M81" s="16"/>
      <c r="N81" s="16"/>
      <c r="O81" s="16"/>
    </row>
    <row r="82" spans="1:15" ht="12.75">
      <c r="A82" s="2" t="s">
        <v>68</v>
      </c>
      <c r="B82" s="8">
        <v>0.508</v>
      </c>
      <c r="C82" s="9">
        <v>18</v>
      </c>
      <c r="H82" s="16"/>
      <c r="I82" s="16"/>
      <c r="J82" s="16"/>
      <c r="K82" s="16"/>
      <c r="L82" s="16"/>
      <c r="M82" s="16"/>
      <c r="N82" s="16"/>
      <c r="O82" s="16"/>
    </row>
    <row r="83" spans="1:15" ht="12.75">
      <c r="A83" s="23" t="s">
        <v>69</v>
      </c>
      <c r="B83" s="24">
        <v>1.5</v>
      </c>
      <c r="C83" s="25">
        <v>18</v>
      </c>
      <c r="D83" s="25">
        <v>35</v>
      </c>
      <c r="E83" s="26"/>
      <c r="F83" s="26"/>
      <c r="G83" s="26"/>
      <c r="H83" s="16"/>
      <c r="I83" s="16"/>
      <c r="J83" s="16"/>
      <c r="K83" s="16"/>
      <c r="L83" s="16"/>
      <c r="M83" s="16"/>
      <c r="N83" s="16"/>
      <c r="O83" s="16"/>
    </row>
    <row r="84" spans="1:15" ht="12.75">
      <c r="A84" s="10" t="e">
        <f>IF(Лист1!#REF!="Серийное производство","FR4 HiTg170","")</f>
        <v>#REF!</v>
      </c>
      <c r="B84" s="18" t="e">
        <f>IF(Лист1!#REF!="Серийное производство",0.3,"")</f>
        <v>#REF!</v>
      </c>
      <c r="C84" s="10" t="e">
        <f>IF(Лист1!#REF!="Серийное производство",35,"")</f>
        <v>#REF!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1:15" ht="12.75">
      <c r="A85" s="2" t="s">
        <v>70</v>
      </c>
      <c r="B85" s="8">
        <v>0.5</v>
      </c>
      <c r="C85" s="9">
        <v>18</v>
      </c>
      <c r="D85" s="9">
        <v>35</v>
      </c>
      <c r="H85" s="16"/>
      <c r="I85" s="16"/>
      <c r="J85" s="16"/>
      <c r="K85" s="16"/>
      <c r="L85" s="16"/>
      <c r="M85" s="16"/>
      <c r="N85" s="16"/>
      <c r="O85" s="16"/>
    </row>
    <row r="86" spans="1:15" ht="12.75">
      <c r="A86" s="2" t="s">
        <v>70</v>
      </c>
      <c r="B86" s="8">
        <v>0.8</v>
      </c>
      <c r="C86" s="9">
        <v>18</v>
      </c>
      <c r="D86" s="9">
        <v>35</v>
      </c>
      <c r="E86" s="10" t="e">
        <f>IF(Лист1!#REF!="Серийное производство",70,"")</f>
        <v>#REF!</v>
      </c>
      <c r="H86" s="16"/>
      <c r="I86" s="16"/>
      <c r="J86" s="16"/>
      <c r="K86" s="16"/>
      <c r="L86" s="16"/>
      <c r="M86" s="16"/>
      <c r="N86" s="16"/>
      <c r="O86" s="16"/>
    </row>
    <row r="87" spans="1:15" ht="12.75">
      <c r="A87" s="2" t="s">
        <v>70</v>
      </c>
      <c r="B87" s="8">
        <v>1</v>
      </c>
      <c r="C87" s="9">
        <v>18</v>
      </c>
      <c r="D87" s="9">
        <v>35</v>
      </c>
      <c r="E87" s="10" t="e">
        <f>IF(Лист1!#REF!="Серийное производство",105,"")</f>
        <v>#REF!</v>
      </c>
      <c r="H87" s="16"/>
      <c r="I87" s="16"/>
      <c r="J87" s="16"/>
      <c r="K87" s="16"/>
      <c r="L87" s="16"/>
      <c r="M87" s="16"/>
      <c r="N87" s="16"/>
      <c r="O87" s="16"/>
    </row>
    <row r="88" spans="1:15" ht="12.75">
      <c r="A88" s="2" t="s">
        <v>70</v>
      </c>
      <c r="B88" s="8">
        <v>1.5</v>
      </c>
      <c r="C88" s="9">
        <v>18</v>
      </c>
      <c r="D88" s="9">
        <v>35</v>
      </c>
      <c r="H88" s="16"/>
      <c r="I88" s="16"/>
      <c r="J88" s="16"/>
      <c r="K88" s="16"/>
      <c r="L88" s="16"/>
      <c r="M88" s="16"/>
      <c r="N88" s="16"/>
      <c r="O88" s="16"/>
    </row>
    <row r="89" spans="1:15" ht="12.75">
      <c r="A89" s="10" t="e">
        <f>IF(Лист1!#REF!="Серийное производство","FR4 HiTg170","")</f>
        <v>#REF!</v>
      </c>
      <c r="B89" s="18" t="e">
        <f>IF(Лист1!#REF!="Серийное производство",1.6,"")</f>
        <v>#REF!</v>
      </c>
      <c r="C89" s="10" t="e">
        <f>IF(Лист1!#REF!="Серийное производство",105,"")</f>
        <v>#REF!</v>
      </c>
      <c r="D89" s="15"/>
      <c r="E89" s="15"/>
      <c r="F89" s="15"/>
      <c r="G89" s="15"/>
      <c r="H89" s="16"/>
      <c r="I89" s="16"/>
      <c r="J89" s="16"/>
      <c r="K89" s="16"/>
      <c r="L89" s="16"/>
      <c r="M89" s="16"/>
      <c r="N89" s="16"/>
      <c r="O89" s="16"/>
    </row>
    <row r="90" spans="1:15" ht="12.75">
      <c r="A90" s="10" t="e">
        <f>IF(Лист1!#REF!="Серийное производство","FR4 HiTg170","")</f>
        <v>#REF!</v>
      </c>
      <c r="B90" s="18" t="e">
        <f>IF(Лист1!#REF!="Серийное производство",2,"")</f>
        <v>#REF!</v>
      </c>
      <c r="C90" s="10" t="e">
        <f>IF(Лист1!#REF!="Серийное производство",18,"")</f>
        <v>#REF!</v>
      </c>
      <c r="D90" s="15"/>
      <c r="E90" s="10" t="e">
        <f>IF(Лист1!#REF!="Серийное производство",70,"")</f>
        <v>#REF!</v>
      </c>
      <c r="F90" s="10" t="e">
        <f>IF(Лист1!#REF!="Серийное производство",105,"")</f>
        <v>#REF!</v>
      </c>
      <c r="G90" s="10" t="e">
        <f>IF(Лист1!#REF!="Серийное производство",140,"")</f>
        <v>#REF!</v>
      </c>
      <c r="H90" s="16"/>
      <c r="I90" s="16"/>
      <c r="J90" s="16"/>
      <c r="K90" s="16"/>
      <c r="L90" s="16"/>
      <c r="M90" s="16"/>
      <c r="N90" s="16"/>
      <c r="O90" s="16"/>
    </row>
    <row r="91" spans="1:15" ht="12.75">
      <c r="A91" s="10" t="e">
        <f>IF(Лист1!#REF!="Серийное производство","FR4 HiTg170","")</f>
        <v>#REF!</v>
      </c>
      <c r="B91" s="18" t="e">
        <f>IF(Лист1!#REF!="Серийное производство",3,"")</f>
        <v>#REF!</v>
      </c>
      <c r="C91" s="10" t="e">
        <f>IF(Лист1!#REF!="Серийное производство",18,"")</f>
        <v>#REF!</v>
      </c>
      <c r="D91" s="15"/>
      <c r="E91" s="15"/>
      <c r="F91" s="15"/>
      <c r="G91" s="15"/>
      <c r="H91" s="16"/>
      <c r="I91" s="16"/>
      <c r="J91" s="16"/>
      <c r="K91" s="16"/>
      <c r="L91" s="16"/>
      <c r="M91" s="16"/>
      <c r="N91" s="16"/>
      <c r="O91" s="16"/>
    </row>
    <row r="92" spans="1:15" ht="12.75">
      <c r="A92" s="2" t="s">
        <v>71</v>
      </c>
      <c r="B92" s="8">
        <v>0.508</v>
      </c>
      <c r="C92" s="9">
        <v>18</v>
      </c>
      <c r="H92" s="16"/>
      <c r="I92" s="16"/>
      <c r="J92" s="16"/>
      <c r="K92" s="16"/>
      <c r="L92" s="16"/>
      <c r="M92" s="16"/>
      <c r="N92" s="16"/>
      <c r="O92" s="16"/>
    </row>
    <row r="93" spans="1:15" ht="12.75">
      <c r="A93" s="23" t="s">
        <v>72</v>
      </c>
      <c r="B93" s="27">
        <v>0.2</v>
      </c>
      <c r="C93" s="28">
        <v>18</v>
      </c>
      <c r="D93" s="26"/>
      <c r="E93" s="26"/>
      <c r="F93" s="26"/>
      <c r="G93" s="26"/>
      <c r="H93" s="16"/>
      <c r="I93" s="16"/>
      <c r="J93" s="16"/>
      <c r="K93" s="16"/>
      <c r="L93" s="16"/>
      <c r="M93" s="16"/>
      <c r="N93" s="16"/>
      <c r="O93" s="16"/>
    </row>
    <row r="94" spans="1:15" ht="12.75">
      <c r="A94" s="23" t="s">
        <v>72</v>
      </c>
      <c r="B94" s="27">
        <v>0.3</v>
      </c>
      <c r="C94" s="28">
        <v>18</v>
      </c>
      <c r="D94" s="26"/>
      <c r="E94" s="26"/>
      <c r="F94" s="26"/>
      <c r="G94" s="26"/>
      <c r="H94" s="16"/>
      <c r="I94" s="16"/>
      <c r="J94" s="16"/>
      <c r="K94" s="16"/>
      <c r="L94" s="16"/>
      <c r="M94" s="16"/>
      <c r="N94" s="16"/>
      <c r="O94" s="16"/>
    </row>
    <row r="95" spans="1:15" ht="12.75">
      <c r="A95" s="23" t="s">
        <v>72</v>
      </c>
      <c r="B95" s="27">
        <v>0.5</v>
      </c>
      <c r="C95" s="28">
        <v>18</v>
      </c>
      <c r="D95" s="28">
        <v>35</v>
      </c>
      <c r="E95" s="26"/>
      <c r="F95" s="26"/>
      <c r="G95" s="26"/>
      <c r="H95" s="16"/>
      <c r="I95" s="16"/>
      <c r="J95" s="16"/>
      <c r="K95" s="16"/>
      <c r="L95" s="16"/>
      <c r="M95" s="16"/>
      <c r="N95" s="16"/>
      <c r="O95" s="16"/>
    </row>
    <row r="96" spans="1:15" ht="12.75">
      <c r="A96" s="23" t="s">
        <v>72</v>
      </c>
      <c r="B96" s="27">
        <v>0.8</v>
      </c>
      <c r="C96" s="28">
        <v>18</v>
      </c>
      <c r="D96" s="28">
        <v>35</v>
      </c>
      <c r="E96" s="26"/>
      <c r="F96" s="26"/>
      <c r="G96" s="26"/>
      <c r="H96" s="16"/>
      <c r="I96" s="16"/>
      <c r="J96" s="16"/>
      <c r="K96" s="16"/>
      <c r="L96" s="16"/>
      <c r="M96" s="16"/>
      <c r="N96" s="16"/>
      <c r="O96" s="16"/>
    </row>
    <row r="97" spans="1:15" ht="12.75">
      <c r="A97" s="23" t="s">
        <v>72</v>
      </c>
      <c r="B97" s="27">
        <v>1</v>
      </c>
      <c r="C97" s="28">
        <v>35</v>
      </c>
      <c r="D97" s="26"/>
      <c r="E97" s="26"/>
      <c r="F97" s="26"/>
      <c r="G97" s="26"/>
      <c r="H97" s="16"/>
      <c r="I97" s="16"/>
      <c r="J97" s="16"/>
      <c r="K97" s="16"/>
      <c r="L97" s="16"/>
      <c r="M97" s="16"/>
      <c r="N97" s="16"/>
      <c r="O97" s="16"/>
    </row>
    <row r="98" spans="1:15" ht="12.75">
      <c r="A98" s="23" t="s">
        <v>72</v>
      </c>
      <c r="B98" s="27">
        <v>1.5</v>
      </c>
      <c r="C98" s="28">
        <v>35</v>
      </c>
      <c r="D98" s="28">
        <v>50</v>
      </c>
      <c r="E98" s="26"/>
      <c r="F98" s="26"/>
      <c r="G98" s="26"/>
      <c r="H98" s="16"/>
      <c r="I98" s="16"/>
      <c r="J98" s="16"/>
      <c r="K98" s="16"/>
      <c r="L98" s="16"/>
      <c r="M98" s="16"/>
      <c r="N98" s="16"/>
      <c r="O98" s="16"/>
    </row>
    <row r="99" spans="1:15" ht="12.75">
      <c r="A99" s="23" t="s">
        <v>72</v>
      </c>
      <c r="B99" s="27">
        <v>2</v>
      </c>
      <c r="C99" s="28">
        <v>18</v>
      </c>
      <c r="D99" s="28">
        <v>35</v>
      </c>
      <c r="E99" s="28">
        <v>50</v>
      </c>
      <c r="F99" s="28">
        <v>210</v>
      </c>
      <c r="G99" s="26"/>
      <c r="H99" s="16"/>
      <c r="I99" s="16"/>
      <c r="J99" s="16"/>
      <c r="K99" s="16"/>
      <c r="L99" s="16"/>
      <c r="M99" s="16"/>
      <c r="N99" s="16"/>
      <c r="O99" s="16"/>
    </row>
    <row r="100" spans="1:15" ht="12.75">
      <c r="A100" s="23" t="s">
        <v>72</v>
      </c>
      <c r="B100" s="27">
        <v>3</v>
      </c>
      <c r="C100" s="28">
        <v>35</v>
      </c>
      <c r="D100" s="28">
        <v>50</v>
      </c>
      <c r="E100" s="26"/>
      <c r="F100" s="26"/>
      <c r="G100" s="26"/>
      <c r="H100" s="16"/>
      <c r="I100" s="16"/>
      <c r="J100" s="16"/>
      <c r="K100" s="16"/>
      <c r="L100" s="16"/>
      <c r="M100" s="16"/>
      <c r="N100" s="16"/>
      <c r="O100" s="16"/>
    </row>
    <row r="101" spans="1:15" ht="12.75">
      <c r="A101" s="2" t="s">
        <v>73</v>
      </c>
      <c r="B101" s="8">
        <v>1.016</v>
      </c>
      <c r="C101" s="9">
        <v>18</v>
      </c>
      <c r="D101" s="9">
        <v>35</v>
      </c>
      <c r="H101" s="16"/>
      <c r="I101" s="16"/>
      <c r="J101" s="16"/>
      <c r="K101" s="16"/>
      <c r="L101" s="16"/>
      <c r="M101" s="16"/>
      <c r="N101" s="16"/>
      <c r="O101" s="16"/>
    </row>
    <row r="102" spans="1:15" ht="12.75">
      <c r="A102" s="2" t="s">
        <v>73</v>
      </c>
      <c r="B102" s="8">
        <v>1.524</v>
      </c>
      <c r="C102" s="9">
        <v>18</v>
      </c>
      <c r="D102" s="9">
        <v>35</v>
      </c>
      <c r="H102" s="16"/>
      <c r="I102" s="16"/>
      <c r="J102" s="16"/>
      <c r="K102" s="16"/>
      <c r="L102" s="16"/>
      <c r="M102" s="16"/>
      <c r="N102" s="16"/>
      <c r="O102" s="16"/>
    </row>
    <row r="103" spans="1:15" ht="12.75">
      <c r="A103" s="2" t="s">
        <v>73</v>
      </c>
      <c r="B103" s="8">
        <v>2.032</v>
      </c>
      <c r="C103" s="9">
        <v>18</v>
      </c>
      <c r="D103" s="9">
        <v>35</v>
      </c>
      <c r="H103" s="16"/>
      <c r="I103" s="16"/>
      <c r="J103" s="16"/>
      <c r="K103" s="16"/>
      <c r="L103" s="16"/>
      <c r="M103" s="16"/>
      <c r="N103" s="16"/>
      <c r="O103" s="16"/>
    </row>
    <row r="104" spans="1:15" ht="12.75">
      <c r="A104" s="2" t="s">
        <v>74</v>
      </c>
      <c r="B104" s="8">
        <v>1.524</v>
      </c>
      <c r="C104" s="9">
        <v>35</v>
      </c>
      <c r="H104" s="16"/>
      <c r="I104" s="16"/>
      <c r="J104" s="16"/>
      <c r="K104" s="16"/>
      <c r="L104" s="16"/>
      <c r="M104" s="16"/>
      <c r="N104" s="16"/>
      <c r="O104" s="16"/>
    </row>
    <row r="105" spans="1:15" ht="12.75">
      <c r="A105" s="2"/>
      <c r="B105" s="8"/>
      <c r="G105" s="9"/>
      <c r="H105" s="16"/>
      <c r="I105" s="16"/>
      <c r="J105" s="16"/>
      <c r="K105" s="16"/>
      <c r="L105" s="16"/>
      <c r="M105" s="16"/>
      <c r="N105" s="16"/>
      <c r="O105" s="16"/>
    </row>
    <row r="106" spans="1:15" ht="12.75">
      <c r="A106" s="2"/>
      <c r="B106" s="8"/>
      <c r="G106" s="9"/>
      <c r="H106" s="16"/>
      <c r="I106" s="16"/>
      <c r="J106" s="16"/>
      <c r="K106" s="16"/>
      <c r="L106" s="16"/>
      <c r="M106" s="16"/>
      <c r="N106" s="16"/>
      <c r="O106" s="16"/>
    </row>
    <row r="107" spans="1:15" ht="12.75">
      <c r="A107" s="2"/>
      <c r="B107" s="8"/>
      <c r="G107" s="9"/>
      <c r="H107" s="16"/>
      <c r="I107" s="16"/>
      <c r="J107" s="16"/>
      <c r="K107" s="16"/>
      <c r="L107" s="16"/>
      <c r="M107" s="16"/>
      <c r="N107" s="16"/>
      <c r="O107" s="16"/>
    </row>
    <row r="108" spans="1:15" ht="12.75">
      <c r="A108" s="2"/>
      <c r="B108" s="8"/>
      <c r="G108" s="9"/>
      <c r="H108" s="16"/>
      <c r="I108" s="16"/>
      <c r="J108" s="16"/>
      <c r="K108" s="16"/>
      <c r="L108" s="16"/>
      <c r="M108" s="16"/>
      <c r="N108" s="16"/>
      <c r="O108" s="16"/>
    </row>
    <row r="109" spans="1:15" ht="12.75">
      <c r="A109" s="2"/>
      <c r="B109" s="8"/>
      <c r="G109" s="9"/>
      <c r="H109" s="16"/>
      <c r="I109" s="16"/>
      <c r="J109" s="16"/>
      <c r="K109" s="16"/>
      <c r="L109" s="16"/>
      <c r="M109" s="16"/>
      <c r="N109" s="16"/>
      <c r="O109" s="16"/>
    </row>
    <row r="110" spans="1:15" ht="12.75">
      <c r="A110" s="2"/>
      <c r="B110" s="8"/>
      <c r="G110" s="9"/>
      <c r="H110" s="16"/>
      <c r="I110" s="16"/>
      <c r="J110" s="16"/>
      <c r="K110" s="16"/>
      <c r="L110" s="16"/>
      <c r="M110" s="16"/>
      <c r="N110" s="16"/>
      <c r="O110" s="16"/>
    </row>
    <row r="111" spans="1:15" ht="12.75">
      <c r="A111" s="2"/>
      <c r="B111" s="8"/>
      <c r="G111" s="9"/>
      <c r="H111" s="16"/>
      <c r="I111" s="16"/>
      <c r="J111" s="16"/>
      <c r="K111" s="16"/>
      <c r="L111" s="16"/>
      <c r="M111" s="16"/>
      <c r="N111" s="16"/>
      <c r="O111" s="16"/>
    </row>
    <row r="112" spans="1:15" ht="12.75">
      <c r="A112" s="2"/>
      <c r="B112" s="8"/>
      <c r="G112" s="9"/>
      <c r="H112" s="16"/>
      <c r="I112" s="16"/>
      <c r="J112" s="16"/>
      <c r="K112" s="16"/>
      <c r="L112" s="16"/>
      <c r="M112" s="16"/>
      <c r="N112" s="16"/>
      <c r="O112" s="16"/>
    </row>
    <row r="113" spans="1:15" ht="12.75">
      <c r="A113" s="5" t="s">
        <v>75</v>
      </c>
      <c r="B113" s="29">
        <v>0.5</v>
      </c>
      <c r="C113" s="30">
        <v>18</v>
      </c>
      <c r="D113" s="30">
        <v>35</v>
      </c>
      <c r="E113" s="30">
        <v>70</v>
      </c>
      <c r="F113" s="30">
        <v>105</v>
      </c>
      <c r="G113" s="9"/>
      <c r="H113" s="16"/>
      <c r="I113" s="16"/>
      <c r="J113" s="16"/>
      <c r="K113" s="16"/>
      <c r="L113" s="16"/>
      <c r="M113" s="16"/>
      <c r="N113" s="16"/>
      <c r="O113" s="16"/>
    </row>
    <row r="114" spans="1:15" ht="12.75">
      <c r="A114" s="5" t="s">
        <v>75</v>
      </c>
      <c r="B114" s="29">
        <v>0.8</v>
      </c>
      <c r="C114" s="30">
        <v>18</v>
      </c>
      <c r="D114" s="30">
        <v>35</v>
      </c>
      <c r="E114" s="30">
        <v>70</v>
      </c>
      <c r="F114" s="30">
        <v>105</v>
      </c>
      <c r="G114" s="9"/>
      <c r="H114" s="16"/>
      <c r="I114" s="16"/>
      <c r="J114" s="16"/>
      <c r="K114" s="16"/>
      <c r="L114" s="16"/>
      <c r="M114" s="16"/>
      <c r="N114" s="16"/>
      <c r="O114" s="16"/>
    </row>
    <row r="115" spans="1:15" ht="12.75">
      <c r="A115" s="5" t="s">
        <v>75</v>
      </c>
      <c r="B115" s="29">
        <v>1</v>
      </c>
      <c r="C115" s="30">
        <v>18</v>
      </c>
      <c r="D115" s="30">
        <v>35</v>
      </c>
      <c r="E115" s="30">
        <v>70</v>
      </c>
      <c r="F115" s="30">
        <v>105</v>
      </c>
      <c r="G115" s="9"/>
      <c r="H115" s="16"/>
      <c r="I115" s="16"/>
      <c r="J115" s="16"/>
      <c r="K115" s="16"/>
      <c r="L115" s="16"/>
      <c r="M115" s="16"/>
      <c r="N115" s="16"/>
      <c r="O115" s="16"/>
    </row>
    <row r="116" spans="1:15" ht="12.75">
      <c r="A116" s="5" t="s">
        <v>75</v>
      </c>
      <c r="B116" s="29">
        <v>1.5</v>
      </c>
      <c r="C116" s="30">
        <v>18</v>
      </c>
      <c r="D116" s="30">
        <v>35</v>
      </c>
      <c r="E116" s="30">
        <v>70</v>
      </c>
      <c r="F116" s="30">
        <v>105</v>
      </c>
      <c r="G116" s="9"/>
      <c r="H116" s="16"/>
      <c r="I116" s="16"/>
      <c r="J116" s="16"/>
      <c r="K116" s="16"/>
      <c r="L116" s="16"/>
      <c r="M116" s="16"/>
      <c r="N116" s="16"/>
      <c r="O116" s="16"/>
    </row>
    <row r="117" spans="1:15" ht="12.75">
      <c r="A117" s="5" t="s">
        <v>75</v>
      </c>
      <c r="B117" s="29">
        <v>2</v>
      </c>
      <c r="C117" s="30">
        <v>18</v>
      </c>
      <c r="D117" s="30">
        <v>35</v>
      </c>
      <c r="E117" s="30">
        <v>70</v>
      </c>
      <c r="F117" s="30">
        <v>105</v>
      </c>
      <c r="G117" s="9"/>
      <c r="H117" s="16"/>
      <c r="I117" s="16"/>
      <c r="J117" s="16"/>
      <c r="K117" s="16"/>
      <c r="L117" s="16"/>
      <c r="M117" s="16"/>
      <c r="N117" s="16"/>
      <c r="O117" s="16"/>
    </row>
    <row r="118" spans="1:15" ht="12.75">
      <c r="A118" s="5" t="s">
        <v>76</v>
      </c>
      <c r="B118" s="29">
        <v>1.5</v>
      </c>
      <c r="C118" s="30">
        <v>35</v>
      </c>
      <c r="G118" s="9"/>
      <c r="H118" s="16"/>
      <c r="I118" s="16"/>
      <c r="J118" s="16"/>
      <c r="K118" s="16"/>
      <c r="L118" s="16"/>
      <c r="M118" s="16"/>
      <c r="N118" s="16"/>
      <c r="O118" s="16"/>
    </row>
    <row r="119" spans="1:15" ht="12.75">
      <c r="A119" s="5" t="e">
        <f>IF(Лист1!#REF!="Срочное производство","","IT-158")</f>
        <v>#REF!</v>
      </c>
      <c r="B119" s="29">
        <v>0.5</v>
      </c>
      <c r="C119" s="30">
        <v>18</v>
      </c>
      <c r="D119" s="30">
        <v>35</v>
      </c>
      <c r="E119" s="30">
        <v>70</v>
      </c>
      <c r="F119" s="30">
        <v>105</v>
      </c>
      <c r="G119" s="9"/>
      <c r="H119" s="16"/>
      <c r="I119" s="16"/>
      <c r="J119" s="16"/>
      <c r="K119" s="16"/>
      <c r="L119" s="16"/>
      <c r="M119" s="16"/>
      <c r="N119" s="16"/>
      <c r="O119" s="16"/>
    </row>
    <row r="120" spans="1:15" ht="12.75">
      <c r="A120" s="5" t="s">
        <v>77</v>
      </c>
      <c r="B120" s="29">
        <v>0.8</v>
      </c>
      <c r="C120" s="30" t="e">
        <f>IF(Лист1!#REF!="Срочное производство","",18)</f>
        <v>#REF!</v>
      </c>
      <c r="D120" s="30">
        <v>35</v>
      </c>
      <c r="E120" s="30" t="e">
        <f>IF(Лист1!#REF!="Срочное производство","",70)</f>
        <v>#REF!</v>
      </c>
      <c r="F120" s="30" t="e">
        <f>IF(Лист1!#REF!="Срочное производство","",105)</f>
        <v>#REF!</v>
      </c>
      <c r="G120" s="31"/>
      <c r="H120" s="16"/>
      <c r="I120" s="16"/>
      <c r="J120" s="16"/>
      <c r="K120" s="16"/>
      <c r="L120" s="16"/>
      <c r="M120" s="16"/>
      <c r="N120" s="16"/>
      <c r="O120" s="16"/>
    </row>
    <row r="121" spans="1:15" ht="12.75">
      <c r="A121" s="5" t="s">
        <v>77</v>
      </c>
      <c r="B121" s="29">
        <v>1</v>
      </c>
      <c r="C121" s="30" t="e">
        <f>IF(Лист1!#REF!="Срочное производство","",18)</f>
        <v>#REF!</v>
      </c>
      <c r="D121" s="30">
        <v>35</v>
      </c>
      <c r="E121" s="30" t="e">
        <f>IF(Лист1!#REF!="Срочное производство","",70)</f>
        <v>#REF!</v>
      </c>
      <c r="F121" s="30" t="e">
        <f>IF(Лист1!#REF!="Срочное производство","",105)</f>
        <v>#REF!</v>
      </c>
      <c r="G121" s="31"/>
      <c r="H121" s="16"/>
      <c r="I121" s="16"/>
      <c r="J121" s="16"/>
      <c r="K121" s="16"/>
      <c r="L121" s="16"/>
      <c r="M121" s="16"/>
      <c r="N121" s="16"/>
      <c r="O121" s="16"/>
    </row>
    <row r="122" spans="1:15" ht="12.75">
      <c r="A122" s="5" t="s">
        <v>77</v>
      </c>
      <c r="B122" s="29">
        <v>1.5</v>
      </c>
      <c r="C122" s="30" t="e">
        <f>IF(Лист1!#REF!="Срочное производство","",18)</f>
        <v>#REF!</v>
      </c>
      <c r="D122" s="30">
        <v>35</v>
      </c>
      <c r="E122" s="30" t="e">
        <f>IF(Лист1!#REF!="Срочное производство","",70)</f>
        <v>#REF!</v>
      </c>
      <c r="F122" s="30" t="e">
        <f>IF(Лист1!#REF!="Срочное производство","",105)</f>
        <v>#REF!</v>
      </c>
      <c r="G122" s="31"/>
      <c r="H122" s="16"/>
      <c r="I122" s="16"/>
      <c r="J122" s="16"/>
      <c r="K122" s="16"/>
      <c r="L122" s="16"/>
      <c r="M122" s="16"/>
      <c r="N122" s="16"/>
      <c r="O122" s="16"/>
    </row>
    <row r="123" spans="1:15" ht="12.75">
      <c r="A123" s="5" t="e">
        <f>IF(Лист1!#REF!="Срочное производство","","IT-158")</f>
        <v>#REF!</v>
      </c>
      <c r="B123" s="29">
        <v>2</v>
      </c>
      <c r="C123" s="30">
        <v>18</v>
      </c>
      <c r="D123" s="30">
        <v>35</v>
      </c>
      <c r="E123" s="30">
        <v>70</v>
      </c>
      <c r="F123" s="30">
        <v>105</v>
      </c>
      <c r="G123" s="9"/>
      <c r="H123" s="16"/>
      <c r="I123" s="16"/>
      <c r="J123" s="16"/>
      <c r="K123" s="16"/>
      <c r="L123" s="16"/>
      <c r="M123" s="16"/>
      <c r="N123" s="16"/>
      <c r="O123" s="16"/>
    </row>
    <row r="124" spans="1:15" ht="12.75">
      <c r="A124" s="5" t="e">
        <f>IF(Лист1!#REF!="Срочное производство","","HA-50 Type1")</f>
        <v>#REF!</v>
      </c>
      <c r="B124" s="29">
        <v>0.5</v>
      </c>
      <c r="C124" s="30">
        <v>18</v>
      </c>
      <c r="D124" s="30">
        <v>35</v>
      </c>
      <c r="E124" s="30">
        <v>70</v>
      </c>
      <c r="F124" s="30">
        <v>105</v>
      </c>
      <c r="G124" s="9"/>
      <c r="H124" s="16"/>
      <c r="I124" s="16"/>
      <c r="J124" s="16"/>
      <c r="K124" s="16"/>
      <c r="L124" s="16"/>
      <c r="M124" s="16"/>
      <c r="N124" s="16"/>
      <c r="O124" s="16"/>
    </row>
    <row r="125" spans="1:15" ht="12.75">
      <c r="A125" s="5" t="s">
        <v>78</v>
      </c>
      <c r="B125" s="29">
        <v>0.8</v>
      </c>
      <c r="C125" s="30" t="e">
        <f>IF(Лист1!#REF!="Срочное производство","",18)</f>
        <v>#REF!</v>
      </c>
      <c r="D125" s="30">
        <v>35</v>
      </c>
      <c r="E125" s="30" t="e">
        <f>IF(Лист1!#REF!="Срочное производство","",70)</f>
        <v>#REF!</v>
      </c>
      <c r="F125" s="30" t="e">
        <f>IF(Лист1!#REF!="Срочное производство","",105)</f>
        <v>#REF!</v>
      </c>
      <c r="G125" s="31"/>
      <c r="H125" s="16"/>
      <c r="I125" s="16"/>
      <c r="J125" s="16"/>
      <c r="K125" s="16"/>
      <c r="L125" s="16"/>
      <c r="M125" s="16"/>
      <c r="N125" s="16"/>
      <c r="O125" s="16"/>
    </row>
    <row r="126" spans="1:15" ht="12.75">
      <c r="A126" s="5" t="s">
        <v>78</v>
      </c>
      <c r="B126" s="29">
        <v>1</v>
      </c>
      <c r="C126" s="30" t="e">
        <f>IF(Лист1!#REF!="Срочное производство","",18)</f>
        <v>#REF!</v>
      </c>
      <c r="D126" s="30">
        <v>35</v>
      </c>
      <c r="E126" s="30" t="e">
        <f>IF(Лист1!#REF!="Срочное производство","",70)</f>
        <v>#REF!</v>
      </c>
      <c r="F126" s="30" t="e">
        <f>IF(Лист1!#REF!="Срочное производство","",105)</f>
        <v>#REF!</v>
      </c>
      <c r="G126" s="31"/>
      <c r="H126" s="16"/>
      <c r="I126" s="16"/>
      <c r="J126" s="16"/>
      <c r="K126" s="16"/>
      <c r="L126" s="16"/>
      <c r="M126" s="16"/>
      <c r="N126" s="16"/>
      <c r="O126" s="16"/>
    </row>
    <row r="127" spans="1:15" ht="12.75">
      <c r="A127" s="5" t="s">
        <v>78</v>
      </c>
      <c r="B127" s="29">
        <v>1.5</v>
      </c>
      <c r="C127" s="30" t="e">
        <f>IF(Лист1!#REF!="Срочное производство","",18)</f>
        <v>#REF!</v>
      </c>
      <c r="D127" s="30">
        <v>35</v>
      </c>
      <c r="E127" s="30" t="e">
        <f>IF(Лист1!#REF!="Срочное производство","",70)</f>
        <v>#REF!</v>
      </c>
      <c r="F127" s="30" t="e">
        <f>IF(Лист1!#REF!="Срочное производство","",105)</f>
        <v>#REF!</v>
      </c>
      <c r="G127" s="31"/>
      <c r="H127" s="16"/>
      <c r="I127" s="16"/>
      <c r="J127" s="16"/>
      <c r="K127" s="16"/>
      <c r="L127" s="16"/>
      <c r="M127" s="16"/>
      <c r="N127" s="16"/>
      <c r="O127" s="16"/>
    </row>
    <row r="128" spans="1:15" ht="12.75">
      <c r="A128" s="5" t="s">
        <v>78</v>
      </c>
      <c r="B128" s="29">
        <v>2</v>
      </c>
      <c r="C128" s="30" t="e">
        <f>IF(Лист1!#REF!="Срочное производство","",18)</f>
        <v>#REF!</v>
      </c>
      <c r="D128" s="30">
        <v>35</v>
      </c>
      <c r="E128" s="30" t="e">
        <f>IF(Лист1!#REF!="Срочное производство","",70)</f>
        <v>#REF!</v>
      </c>
      <c r="F128" s="30" t="e">
        <f>IF(Лист1!#REF!="Срочное производство","",105)</f>
        <v>#REF!</v>
      </c>
      <c r="G128" s="31"/>
      <c r="H128" s="16"/>
      <c r="I128" s="16"/>
      <c r="J128" s="16"/>
      <c r="K128" s="16"/>
      <c r="L128" s="16"/>
      <c r="M128" s="16"/>
      <c r="N128" s="16"/>
      <c r="O128" s="16"/>
    </row>
    <row r="129" spans="1:15" ht="12.75">
      <c r="A129" s="5" t="e">
        <f>IF(Лист1!#REF!="Срочное производство","","T112(5052)")</f>
        <v>#REF!</v>
      </c>
      <c r="B129" s="29">
        <v>0.5</v>
      </c>
      <c r="C129" s="30">
        <v>18</v>
      </c>
      <c r="D129" s="30">
        <v>35</v>
      </c>
      <c r="E129" s="30">
        <v>70</v>
      </c>
      <c r="F129" s="30">
        <v>105</v>
      </c>
      <c r="G129" s="9"/>
      <c r="H129" s="16"/>
      <c r="I129" s="16"/>
      <c r="J129" s="16"/>
      <c r="K129" s="16"/>
      <c r="L129" s="16"/>
      <c r="M129" s="16"/>
      <c r="N129" s="16"/>
      <c r="O129" s="16"/>
    </row>
    <row r="130" spans="1:15" ht="12.75">
      <c r="A130" s="5" t="e">
        <f>IF(Лист1!#REF!="Срочное производство","","T112(5052)")</f>
        <v>#REF!</v>
      </c>
      <c r="B130" s="29">
        <v>0.8</v>
      </c>
      <c r="C130" s="30">
        <v>18</v>
      </c>
      <c r="D130" s="30">
        <v>35</v>
      </c>
      <c r="E130" s="30">
        <v>70</v>
      </c>
      <c r="F130" s="30">
        <v>105</v>
      </c>
      <c r="G130" s="9"/>
      <c r="H130" s="16"/>
      <c r="I130" s="16"/>
      <c r="J130" s="16"/>
      <c r="K130" s="16"/>
      <c r="L130" s="16"/>
      <c r="M130" s="16"/>
      <c r="N130" s="16"/>
      <c r="O130" s="16"/>
    </row>
    <row r="131" spans="1:15" ht="12.75">
      <c r="A131" s="5" t="e">
        <f>IF(Лист1!#REF!="Срочное производство","","T112(5052)")</f>
        <v>#REF!</v>
      </c>
      <c r="B131" s="29">
        <v>1</v>
      </c>
      <c r="C131" s="30">
        <v>18</v>
      </c>
      <c r="D131" s="30">
        <v>35</v>
      </c>
      <c r="E131" s="30">
        <v>70</v>
      </c>
      <c r="F131" s="30">
        <v>105</v>
      </c>
      <c r="H131" s="16"/>
      <c r="I131" s="16"/>
      <c r="J131" s="16"/>
      <c r="K131" s="16"/>
      <c r="L131" s="16"/>
      <c r="M131" s="16"/>
      <c r="N131" s="16"/>
      <c r="O131" s="16"/>
    </row>
    <row r="132" spans="1:15" ht="12.75">
      <c r="A132" s="5" t="s">
        <v>79</v>
      </c>
      <c r="B132" s="29">
        <v>1.5</v>
      </c>
      <c r="C132" s="30" t="e">
        <f>IF(Лист1!#REF!="Срочное производство","",18)</f>
        <v>#REF!</v>
      </c>
      <c r="D132" s="30">
        <v>35</v>
      </c>
      <c r="E132" s="30" t="e">
        <f>IF(Лист1!#REF!="Срочное производство","",70)</f>
        <v>#REF!</v>
      </c>
      <c r="F132" s="30" t="e">
        <f>IF(Лист1!#REF!="Срочное производство","",105)</f>
        <v>#REF!</v>
      </c>
      <c r="H132" s="16"/>
      <c r="I132" s="16"/>
      <c r="J132" s="16"/>
      <c r="K132" s="16"/>
      <c r="L132" s="16"/>
      <c r="M132" s="16"/>
      <c r="N132" s="16"/>
      <c r="O132" s="16"/>
    </row>
    <row r="133" spans="1:15" ht="12.75">
      <c r="A133" s="5" t="e">
        <f>IF(Лист1!#REF!="Срочное производство","","T112(5052)")</f>
        <v>#REF!</v>
      </c>
      <c r="B133" s="29">
        <v>2</v>
      </c>
      <c r="C133" s="30">
        <v>18</v>
      </c>
      <c r="D133" s="30">
        <v>35</v>
      </c>
      <c r="E133" s="30">
        <v>70</v>
      </c>
      <c r="F133" s="30">
        <v>105</v>
      </c>
      <c r="H133" s="16"/>
      <c r="I133" s="16"/>
      <c r="J133" s="16"/>
      <c r="K133" s="16"/>
      <c r="L133" s="16"/>
      <c r="M133" s="16"/>
      <c r="N133" s="16"/>
      <c r="O133" s="16"/>
    </row>
    <row r="134" spans="1:15" ht="12.75">
      <c r="A134" s="5" t="s">
        <v>80</v>
      </c>
      <c r="B134" s="29">
        <v>0.5</v>
      </c>
      <c r="C134" s="30">
        <v>18</v>
      </c>
      <c r="D134" s="30">
        <v>35</v>
      </c>
      <c r="E134" s="30">
        <v>70</v>
      </c>
      <c r="F134" s="30">
        <v>105</v>
      </c>
      <c r="H134" s="16"/>
      <c r="I134" s="16"/>
      <c r="J134" s="16"/>
      <c r="K134" s="16"/>
      <c r="L134" s="16"/>
      <c r="M134" s="16"/>
      <c r="N134" s="16"/>
      <c r="O134" s="16"/>
    </row>
    <row r="135" spans="1:15" ht="12.75">
      <c r="A135" s="5" t="s">
        <v>80</v>
      </c>
      <c r="B135" s="29">
        <v>0.8</v>
      </c>
      <c r="C135" s="30">
        <v>18</v>
      </c>
      <c r="D135" s="30">
        <v>35</v>
      </c>
      <c r="E135" s="30">
        <v>70</v>
      </c>
      <c r="F135" s="30">
        <v>105</v>
      </c>
      <c r="H135" s="16"/>
      <c r="I135" s="16"/>
      <c r="J135" s="16"/>
      <c r="K135" s="16"/>
      <c r="L135" s="16"/>
      <c r="M135" s="16"/>
      <c r="N135" s="16"/>
      <c r="O135" s="16"/>
    </row>
    <row r="136" spans="1:15" ht="12.75">
      <c r="A136" s="5" t="s">
        <v>80</v>
      </c>
      <c r="B136" s="29">
        <v>1</v>
      </c>
      <c r="C136" s="30">
        <v>18</v>
      </c>
      <c r="D136" s="30">
        <v>35</v>
      </c>
      <c r="E136" s="30">
        <v>70</v>
      </c>
      <c r="F136" s="30">
        <v>105</v>
      </c>
      <c r="H136" s="16"/>
      <c r="I136" s="16"/>
      <c r="J136" s="16"/>
      <c r="K136" s="16"/>
      <c r="L136" s="16"/>
      <c r="M136" s="16"/>
      <c r="N136" s="16"/>
      <c r="O136" s="16"/>
    </row>
    <row r="137" spans="1:15" ht="12.75">
      <c r="A137" s="5" t="s">
        <v>80</v>
      </c>
      <c r="B137" s="29">
        <v>1.5</v>
      </c>
      <c r="C137" s="30">
        <v>18</v>
      </c>
      <c r="D137" s="30">
        <v>35</v>
      </c>
      <c r="E137" s="30">
        <v>70</v>
      </c>
      <c r="F137" s="30">
        <v>105</v>
      </c>
      <c r="H137" s="16"/>
      <c r="I137" s="16"/>
      <c r="J137" s="16"/>
      <c r="K137" s="16"/>
      <c r="L137" s="16"/>
      <c r="M137" s="16"/>
      <c r="N137" s="16"/>
      <c r="O137" s="16"/>
    </row>
    <row r="138" spans="1:15" ht="12.75">
      <c r="A138" s="5" t="s">
        <v>80</v>
      </c>
      <c r="B138" s="29">
        <v>2</v>
      </c>
      <c r="C138" s="30">
        <v>18</v>
      </c>
      <c r="D138" s="30">
        <v>35</v>
      </c>
      <c r="E138" s="30">
        <v>70</v>
      </c>
      <c r="F138" s="30">
        <v>105</v>
      </c>
      <c r="H138" s="16"/>
      <c r="I138" s="16"/>
      <c r="J138" s="16"/>
      <c r="K138" s="16"/>
      <c r="L138" s="16"/>
      <c r="M138" s="16"/>
      <c r="N138" s="16"/>
      <c r="O138" s="16"/>
    </row>
    <row r="139" spans="1:15" ht="12.75">
      <c r="A139" s="5" t="s">
        <v>81</v>
      </c>
      <c r="B139" s="29">
        <v>0.8</v>
      </c>
      <c r="C139" s="30">
        <v>35</v>
      </c>
      <c r="D139" s="30">
        <v>70</v>
      </c>
      <c r="H139" s="16"/>
      <c r="I139" s="16"/>
      <c r="J139" s="16"/>
      <c r="K139" s="16"/>
      <c r="L139" s="16"/>
      <c r="M139" s="16"/>
      <c r="N139" s="16"/>
      <c r="O139" s="16"/>
    </row>
    <row r="140" spans="1:15" ht="12.75">
      <c r="A140" s="5" t="s">
        <v>81</v>
      </c>
      <c r="B140" s="29">
        <v>1</v>
      </c>
      <c r="C140" s="30">
        <v>35</v>
      </c>
      <c r="D140" s="30">
        <v>70</v>
      </c>
      <c r="H140" s="16"/>
      <c r="I140" s="16"/>
      <c r="J140" s="16"/>
      <c r="K140" s="16"/>
      <c r="L140" s="16"/>
      <c r="M140" s="16"/>
      <c r="N140" s="16"/>
      <c r="O140" s="16"/>
    </row>
    <row r="141" spans="1:15" ht="12.75">
      <c r="A141" s="5" t="s">
        <v>81</v>
      </c>
      <c r="B141" s="29">
        <v>1.5</v>
      </c>
      <c r="C141" s="30">
        <v>35</v>
      </c>
      <c r="D141" s="30">
        <v>70</v>
      </c>
      <c r="H141" s="16"/>
      <c r="I141" s="16"/>
      <c r="J141" s="16"/>
      <c r="K141" s="16"/>
      <c r="L141" s="16"/>
      <c r="M141" s="16"/>
      <c r="N141" s="16"/>
      <c r="O141" s="16"/>
    </row>
    <row r="142" spans="1:15" ht="12.75">
      <c r="A142" s="5" t="s">
        <v>81</v>
      </c>
      <c r="B142" s="29">
        <v>2</v>
      </c>
      <c r="C142" s="30">
        <v>35</v>
      </c>
      <c r="D142" s="30">
        <v>70</v>
      </c>
      <c r="H142" s="16"/>
      <c r="I142" s="16"/>
      <c r="J142" s="16"/>
      <c r="K142" s="16"/>
      <c r="L142" s="16"/>
      <c r="M142" s="16"/>
      <c r="N142" s="16"/>
      <c r="O142" s="16"/>
    </row>
    <row r="143" spans="1:15" ht="12.75">
      <c r="A143" s="5" t="e">
        <f>IF(Лист1!#REF!="Срочное производство","","T111(1100)")</f>
        <v>#REF!</v>
      </c>
      <c r="B143" s="29">
        <v>0.8</v>
      </c>
      <c r="C143" s="30">
        <v>35</v>
      </c>
      <c r="D143" s="30">
        <v>70</v>
      </c>
      <c r="H143" s="16"/>
      <c r="I143" s="16"/>
      <c r="J143" s="16"/>
      <c r="K143" s="16"/>
      <c r="L143" s="16"/>
      <c r="M143" s="16"/>
      <c r="N143" s="16"/>
      <c r="O143" s="16"/>
    </row>
    <row r="144" spans="1:15" ht="12.75">
      <c r="A144" s="5" t="e">
        <f>IF(Лист1!#REF!="Срочное производство","","T111(1100)")</f>
        <v>#REF!</v>
      </c>
      <c r="B144" s="29">
        <v>1</v>
      </c>
      <c r="C144" s="30">
        <v>35</v>
      </c>
      <c r="D144" s="30">
        <v>70</v>
      </c>
      <c r="F144" s="30">
        <v>105</v>
      </c>
      <c r="H144" s="16"/>
      <c r="I144" s="16"/>
      <c r="J144" s="16"/>
      <c r="K144" s="16"/>
      <c r="L144" s="16"/>
      <c r="M144" s="16"/>
      <c r="N144" s="16"/>
      <c r="O144" s="16"/>
    </row>
    <row r="145" spans="1:15" ht="12.75">
      <c r="A145" s="5" t="s">
        <v>82</v>
      </c>
      <c r="B145" s="29">
        <v>1.5</v>
      </c>
      <c r="C145" s="30">
        <v>35</v>
      </c>
      <c r="D145" s="30" t="e">
        <f>IF(Лист1!#REF!="Срочное производство","",70)</f>
        <v>#REF!</v>
      </c>
      <c r="H145" s="16"/>
      <c r="I145" s="16"/>
      <c r="J145" s="16"/>
      <c r="K145" s="16"/>
      <c r="L145" s="16"/>
      <c r="M145" s="16"/>
      <c r="N145" s="16"/>
      <c r="O145" s="16"/>
    </row>
    <row r="146" spans="1:15" ht="12.75">
      <c r="A146" s="5" t="e">
        <f>IF(Лист1!#REF!="Срочное производство","","T111(1100)")</f>
        <v>#REF!</v>
      </c>
      <c r="B146" s="29">
        <v>2</v>
      </c>
      <c r="C146" s="30">
        <v>35</v>
      </c>
      <c r="D146" s="30">
        <v>70</v>
      </c>
      <c r="H146" s="16"/>
      <c r="I146" s="16"/>
      <c r="J146" s="16"/>
      <c r="K146" s="16"/>
      <c r="L146" s="16"/>
      <c r="M146" s="16"/>
      <c r="N146" s="16"/>
      <c r="O146" s="16"/>
    </row>
    <row r="147" spans="1:15" ht="12.75">
      <c r="A147" s="5" t="e">
        <f>IF(Лист1!#REF!="Срочное производство","","HA-50 Type2")</f>
        <v>#REF!</v>
      </c>
      <c r="B147" s="29">
        <v>0.5</v>
      </c>
      <c r="C147" s="30">
        <v>18</v>
      </c>
      <c r="D147" s="30">
        <v>35</v>
      </c>
      <c r="E147" s="30">
        <v>70</v>
      </c>
      <c r="F147" s="30">
        <v>105</v>
      </c>
      <c r="H147" s="16"/>
      <c r="I147" s="16"/>
      <c r="J147" s="16"/>
      <c r="K147" s="16"/>
      <c r="L147" s="16"/>
      <c r="M147" s="16"/>
      <c r="N147" s="16"/>
      <c r="O147" s="16"/>
    </row>
    <row r="148" spans="1:15" ht="12.75">
      <c r="A148" s="5" t="e">
        <f>IF(Лист1!#REF!="Срочное производство","","HA-50 Type2")</f>
        <v>#REF!</v>
      </c>
      <c r="B148" s="29">
        <v>0.8</v>
      </c>
      <c r="C148" s="30">
        <v>18</v>
      </c>
      <c r="D148" s="30">
        <v>35</v>
      </c>
      <c r="E148" s="30">
        <v>70</v>
      </c>
      <c r="F148" s="30">
        <v>105</v>
      </c>
      <c r="H148" s="16"/>
      <c r="I148" s="16"/>
      <c r="J148" s="16"/>
      <c r="K148" s="16"/>
      <c r="L148" s="16"/>
      <c r="M148" s="16"/>
      <c r="N148" s="16"/>
      <c r="O148" s="16"/>
    </row>
    <row r="149" spans="1:15" ht="12.75">
      <c r="A149" s="5" t="e">
        <f>IF(Лист1!#REF!="Срочное производство","","HA-50 Type2")</f>
        <v>#REF!</v>
      </c>
      <c r="B149" s="29">
        <v>1</v>
      </c>
      <c r="C149" s="30">
        <v>18</v>
      </c>
      <c r="D149" s="30">
        <v>35</v>
      </c>
      <c r="E149" s="30">
        <v>70</v>
      </c>
      <c r="F149" s="30">
        <v>105</v>
      </c>
      <c r="H149" s="16"/>
      <c r="I149" s="16"/>
      <c r="J149" s="16"/>
      <c r="K149" s="16"/>
      <c r="L149" s="16"/>
      <c r="M149" s="16"/>
      <c r="N149" s="16"/>
      <c r="O149" s="16"/>
    </row>
    <row r="150" spans="1:15" ht="12.75">
      <c r="A150" s="5" t="s">
        <v>83</v>
      </c>
      <c r="B150" s="29">
        <v>1.5</v>
      </c>
      <c r="C150" s="30" t="e">
        <f>IF(Лист1!#REF!="Срочное производство","",18)</f>
        <v>#REF!</v>
      </c>
      <c r="D150" s="30">
        <v>35</v>
      </c>
      <c r="E150" s="30" t="e">
        <f>IF(Лист1!#REF!="Срочное производство","",70)</f>
        <v>#REF!</v>
      </c>
      <c r="F150" s="30" t="e">
        <f>IF(Лист1!#REF!="Срочное производство","",105)</f>
        <v>#REF!</v>
      </c>
      <c r="H150" s="16"/>
      <c r="I150" s="16"/>
      <c r="J150" s="16"/>
      <c r="K150" s="16"/>
      <c r="L150" s="16"/>
      <c r="M150" s="16"/>
      <c r="N150" s="16"/>
      <c r="O150" s="16"/>
    </row>
    <row r="151" spans="1:15" ht="12.75">
      <c r="A151" s="5" t="e">
        <f>IF(Лист1!#REF!="Срочное производство","","HA-50 Type2")</f>
        <v>#REF!</v>
      </c>
      <c r="B151" s="29">
        <v>2</v>
      </c>
      <c r="C151" s="30">
        <v>18</v>
      </c>
      <c r="D151" s="30">
        <v>35</v>
      </c>
      <c r="E151" s="30">
        <v>70</v>
      </c>
      <c r="F151" s="30">
        <v>105</v>
      </c>
      <c r="H151" s="16"/>
      <c r="I151" s="16"/>
      <c r="J151" s="16"/>
      <c r="K151" s="16"/>
      <c r="L151" s="16"/>
      <c r="M151" s="16"/>
      <c r="N151" s="16"/>
      <c r="O151" s="16"/>
    </row>
    <row r="152" spans="1:15" ht="12.75">
      <c r="A152" s="5" t="s">
        <v>84</v>
      </c>
      <c r="B152" s="29">
        <v>0.8</v>
      </c>
      <c r="C152" s="30">
        <v>18</v>
      </c>
      <c r="D152" s="30">
        <v>35</v>
      </c>
      <c r="H152" s="16"/>
      <c r="I152" s="16"/>
      <c r="J152" s="16"/>
      <c r="K152" s="16"/>
      <c r="L152" s="16"/>
      <c r="M152" s="16"/>
      <c r="N152" s="16"/>
      <c r="O152" s="16"/>
    </row>
    <row r="153" spans="1:15" ht="12.75">
      <c r="A153" s="5" t="s">
        <v>84</v>
      </c>
      <c r="B153" s="29">
        <v>1</v>
      </c>
      <c r="C153" s="30">
        <v>18</v>
      </c>
      <c r="D153" s="30">
        <v>35</v>
      </c>
      <c r="H153" s="16"/>
      <c r="I153" s="16"/>
      <c r="J153" s="16"/>
      <c r="K153" s="16"/>
      <c r="L153" s="16"/>
      <c r="M153" s="16"/>
      <c r="N153" s="16"/>
      <c r="O153" s="16"/>
    </row>
    <row r="154" spans="1:15" ht="12.75">
      <c r="A154" s="5" t="s">
        <v>84</v>
      </c>
      <c r="B154" s="29">
        <v>1.5</v>
      </c>
      <c r="C154" s="30">
        <v>18</v>
      </c>
      <c r="D154" s="30">
        <v>35</v>
      </c>
      <c r="H154" s="16"/>
      <c r="I154" s="16"/>
      <c r="J154" s="16"/>
      <c r="K154" s="16"/>
      <c r="L154" s="16"/>
      <c r="M154" s="16"/>
      <c r="N154" s="16"/>
      <c r="O154" s="16"/>
    </row>
    <row r="155" spans="1:15" ht="12.75">
      <c r="A155" s="5" t="s">
        <v>85</v>
      </c>
      <c r="B155" s="29">
        <v>0.5</v>
      </c>
      <c r="C155" s="30">
        <v>18</v>
      </c>
      <c r="D155" s="30">
        <v>35</v>
      </c>
      <c r="E155" s="30">
        <v>70</v>
      </c>
      <c r="F155" s="30">
        <v>105</v>
      </c>
      <c r="H155" s="16"/>
      <c r="I155" s="16"/>
      <c r="J155" s="16"/>
      <c r="K155" s="16"/>
      <c r="L155" s="16"/>
      <c r="M155" s="16"/>
      <c r="N155" s="16"/>
      <c r="O155" s="16"/>
    </row>
    <row r="156" spans="1:15" ht="12.75">
      <c r="A156" s="5" t="s">
        <v>85</v>
      </c>
      <c r="B156" s="29">
        <v>0.8</v>
      </c>
      <c r="C156" s="30">
        <v>18</v>
      </c>
      <c r="D156" s="30">
        <v>35</v>
      </c>
      <c r="E156" s="30">
        <v>70</v>
      </c>
      <c r="F156" s="30">
        <v>105</v>
      </c>
      <c r="H156" s="16"/>
      <c r="I156" s="16"/>
      <c r="J156" s="16"/>
      <c r="K156" s="16"/>
      <c r="L156" s="16"/>
      <c r="M156" s="16"/>
      <c r="N156" s="16"/>
      <c r="O156" s="16"/>
    </row>
    <row r="157" spans="1:15" ht="12.75">
      <c r="A157" s="5" t="s">
        <v>85</v>
      </c>
      <c r="B157" s="29">
        <v>1</v>
      </c>
      <c r="C157" s="30">
        <v>18</v>
      </c>
      <c r="D157" s="30">
        <v>35</v>
      </c>
      <c r="E157" s="30">
        <v>70</v>
      </c>
      <c r="F157" s="30">
        <v>105</v>
      </c>
      <c r="H157" s="16"/>
      <c r="I157" s="16"/>
      <c r="J157" s="16"/>
      <c r="K157" s="16"/>
      <c r="L157" s="16"/>
      <c r="M157" s="16"/>
      <c r="N157" s="16"/>
      <c r="O157" s="16"/>
    </row>
    <row r="158" spans="1:15" ht="12.75">
      <c r="A158" s="5" t="s">
        <v>85</v>
      </c>
      <c r="B158" s="29">
        <v>1.5</v>
      </c>
      <c r="C158" s="30">
        <v>18</v>
      </c>
      <c r="D158" s="30">
        <v>35</v>
      </c>
      <c r="E158" s="30">
        <v>70</v>
      </c>
      <c r="F158" s="30">
        <v>105</v>
      </c>
      <c r="H158" s="16"/>
      <c r="I158" s="16"/>
      <c r="J158" s="16"/>
      <c r="K158" s="16"/>
      <c r="L158" s="16"/>
      <c r="M158" s="16"/>
      <c r="N158" s="16"/>
      <c r="O158" s="16"/>
    </row>
    <row r="159" spans="1:15" ht="12.75">
      <c r="A159" s="5" t="s">
        <v>85</v>
      </c>
      <c r="B159" s="29">
        <v>2</v>
      </c>
      <c r="C159" s="30">
        <v>18</v>
      </c>
      <c r="D159" s="30">
        <v>35</v>
      </c>
      <c r="E159" s="30">
        <v>70</v>
      </c>
      <c r="F159" s="30">
        <v>105</v>
      </c>
      <c r="H159" s="16"/>
      <c r="I159" s="16"/>
      <c r="J159" s="16"/>
      <c r="K159" s="16"/>
      <c r="L159" s="16"/>
      <c r="M159" s="16"/>
      <c r="N159" s="16"/>
      <c r="O159" s="16"/>
    </row>
    <row r="160" spans="1:15" ht="12.75">
      <c r="A160" s="5" t="s">
        <v>86</v>
      </c>
      <c r="B160" s="29">
        <v>0.5</v>
      </c>
      <c r="C160" s="30">
        <v>18</v>
      </c>
      <c r="D160" s="30">
        <v>35</v>
      </c>
      <c r="E160" s="30">
        <v>70</v>
      </c>
      <c r="F160" s="30">
        <v>105</v>
      </c>
      <c r="H160" s="16"/>
      <c r="I160" s="16"/>
      <c r="J160" s="16"/>
      <c r="K160" s="16"/>
      <c r="L160" s="16"/>
      <c r="M160" s="16"/>
      <c r="N160" s="16"/>
      <c r="O160" s="16"/>
    </row>
    <row r="161" spans="1:15" ht="12.75">
      <c r="A161" s="5" t="s">
        <v>86</v>
      </c>
      <c r="B161" s="29">
        <v>0.8</v>
      </c>
      <c r="C161" s="30">
        <v>18</v>
      </c>
      <c r="D161" s="30">
        <v>35</v>
      </c>
      <c r="E161" s="30">
        <v>70</v>
      </c>
      <c r="F161" s="30">
        <v>105</v>
      </c>
      <c r="H161" s="16"/>
      <c r="I161" s="16"/>
      <c r="J161" s="16"/>
      <c r="K161" s="16"/>
      <c r="L161" s="16"/>
      <c r="M161" s="16"/>
      <c r="N161" s="16"/>
      <c r="O161" s="16"/>
    </row>
    <row r="162" spans="1:15" ht="12.75">
      <c r="A162" s="5" t="s">
        <v>86</v>
      </c>
      <c r="B162" s="29">
        <v>1</v>
      </c>
      <c r="C162" s="30">
        <v>18</v>
      </c>
      <c r="D162" s="30">
        <v>35</v>
      </c>
      <c r="E162" s="30">
        <v>70</v>
      </c>
      <c r="F162" s="30">
        <v>105</v>
      </c>
      <c r="H162" s="16"/>
      <c r="I162" s="16"/>
      <c r="J162" s="16"/>
      <c r="K162" s="16"/>
      <c r="L162" s="16"/>
      <c r="M162" s="16"/>
      <c r="N162" s="16"/>
      <c r="O162" s="16"/>
    </row>
    <row r="163" spans="1:15" ht="12.75">
      <c r="A163" s="5" t="s">
        <v>86</v>
      </c>
      <c r="B163" s="29">
        <v>1.5</v>
      </c>
      <c r="C163" s="30">
        <v>18</v>
      </c>
      <c r="D163" s="30">
        <v>35</v>
      </c>
      <c r="E163" s="30">
        <v>70</v>
      </c>
      <c r="F163" s="30">
        <v>105</v>
      </c>
      <c r="H163" s="16"/>
      <c r="I163" s="16"/>
      <c r="J163" s="16"/>
      <c r="K163" s="16"/>
      <c r="L163" s="16"/>
      <c r="M163" s="16"/>
      <c r="N163" s="16"/>
      <c r="O163" s="16"/>
    </row>
    <row r="164" spans="1:15" ht="12.75">
      <c r="A164" s="5" t="s">
        <v>86</v>
      </c>
      <c r="B164" s="29">
        <v>2</v>
      </c>
      <c r="C164" s="30">
        <v>18</v>
      </c>
      <c r="D164" s="30">
        <v>35</v>
      </c>
      <c r="E164" s="30">
        <v>70</v>
      </c>
      <c r="F164" s="30">
        <v>105</v>
      </c>
      <c r="H164" s="16"/>
      <c r="I164" s="16"/>
      <c r="J164" s="16"/>
      <c r="K164" s="16"/>
      <c r="L164" s="16"/>
      <c r="M164" s="16"/>
      <c r="N164" s="16"/>
      <c r="O164" s="16"/>
    </row>
    <row r="165" spans="1:15" ht="12.75">
      <c r="A165" s="5" t="e">
        <f>IF(Лист1!#REF!="Срочное производство","","T111(5052)")</f>
        <v>#REF!</v>
      </c>
      <c r="B165" s="29">
        <v>0.5</v>
      </c>
      <c r="C165" s="30">
        <v>18</v>
      </c>
      <c r="D165" s="30">
        <v>35</v>
      </c>
      <c r="E165" s="30">
        <v>70</v>
      </c>
      <c r="F165" s="30">
        <v>105</v>
      </c>
      <c r="H165" s="16"/>
      <c r="I165" s="16"/>
      <c r="J165" s="16"/>
      <c r="K165" s="16"/>
      <c r="L165" s="16"/>
      <c r="M165" s="16"/>
      <c r="N165" s="16"/>
      <c r="O165" s="16"/>
    </row>
    <row r="166" spans="1:15" ht="12.75">
      <c r="A166" s="5" t="e">
        <f>IF(Лист1!#REF!="Срочное производство","","T111(5052)")</f>
        <v>#REF!</v>
      </c>
      <c r="B166" s="29">
        <v>0.8</v>
      </c>
      <c r="C166" s="30">
        <v>18</v>
      </c>
      <c r="D166" s="30">
        <v>35</v>
      </c>
      <c r="E166" s="30">
        <v>70</v>
      </c>
      <c r="F166" s="30">
        <v>105</v>
      </c>
      <c r="H166" s="16"/>
      <c r="I166" s="16"/>
      <c r="J166" s="16"/>
      <c r="K166" s="16"/>
      <c r="L166" s="16"/>
      <c r="M166" s="16"/>
      <c r="N166" s="16"/>
      <c r="O166" s="16"/>
    </row>
    <row r="167" spans="1:15" ht="12.75">
      <c r="A167" s="5" t="s">
        <v>87</v>
      </c>
      <c r="B167" s="29">
        <v>1</v>
      </c>
      <c r="C167" s="30" t="e">
        <f>IF(Лист1!#REF!="Срочное производство","",18)</f>
        <v>#REF!</v>
      </c>
      <c r="D167" s="30">
        <v>35</v>
      </c>
      <c r="E167" s="30" t="e">
        <f>IF(Лист1!#REF!="Срочное производство","",70)</f>
        <v>#REF!</v>
      </c>
      <c r="F167" s="30" t="e">
        <f>IF(Лист1!#REF!="Срочное производство","",105)</f>
        <v>#REF!</v>
      </c>
      <c r="H167" s="16"/>
      <c r="I167" s="16"/>
      <c r="J167" s="16"/>
      <c r="K167" s="16"/>
      <c r="L167" s="16"/>
      <c r="M167" s="16"/>
      <c r="N167" s="16"/>
      <c r="O167" s="16"/>
    </row>
    <row r="168" spans="1:15" ht="12.75">
      <c r="A168" s="5" t="s">
        <v>87</v>
      </c>
      <c r="B168" s="29">
        <v>1.5</v>
      </c>
      <c r="C168" s="30" t="e">
        <f>IF(Лист1!#REF!="Срочное производство","",18)</f>
        <v>#REF!</v>
      </c>
      <c r="D168" s="30">
        <v>35</v>
      </c>
      <c r="E168" s="30">
        <v>70</v>
      </c>
      <c r="F168" s="30">
        <v>105</v>
      </c>
      <c r="H168" s="16"/>
      <c r="I168" s="16"/>
      <c r="J168" s="16"/>
      <c r="K168" s="16"/>
      <c r="L168" s="16"/>
      <c r="M168" s="16"/>
      <c r="N168" s="16"/>
      <c r="O168" s="16"/>
    </row>
    <row r="169" spans="1:15" ht="12.75">
      <c r="A169" s="5" t="s">
        <v>87</v>
      </c>
      <c r="B169" s="29">
        <v>2</v>
      </c>
      <c r="C169" s="30" t="e">
        <f>IF(Лист1!#REF!="Срочное производство","",18)</f>
        <v>#REF!</v>
      </c>
      <c r="D169" s="30">
        <v>35</v>
      </c>
      <c r="E169" s="30" t="e">
        <f>IF(Лист1!#REF!="Срочное производство","",70)</f>
        <v>#REF!</v>
      </c>
      <c r="F169" s="30" t="e">
        <f>IF(Лист1!#REF!="Срочное производство","",105)</f>
        <v>#REF!</v>
      </c>
      <c r="H169" s="16"/>
      <c r="I169" s="16"/>
      <c r="J169" s="16"/>
      <c r="K169" s="16"/>
      <c r="L169" s="16"/>
      <c r="M169" s="16"/>
      <c r="N169" s="16"/>
      <c r="O169" s="16"/>
    </row>
    <row r="170" spans="1:15" ht="12.75">
      <c r="A170" s="5" t="e">
        <f>IF(Лист1!#REF!="Срочное производство","","T111(5052)")</f>
        <v>#REF!</v>
      </c>
      <c r="B170" s="29">
        <v>3</v>
      </c>
      <c r="C170" s="30">
        <v>35</v>
      </c>
      <c r="H170" s="16"/>
      <c r="I170" s="16"/>
      <c r="J170" s="16"/>
      <c r="K170" s="16"/>
      <c r="L170" s="16"/>
      <c r="M170" s="16"/>
      <c r="N170" s="16"/>
      <c r="O170" s="16"/>
    </row>
    <row r="171" spans="1:15" ht="12.75">
      <c r="A171" s="5" t="e">
        <f>IF(Лист1!#REF!="Срочное производство","","HA-50 Type3")</f>
        <v>#REF!</v>
      </c>
      <c r="B171" s="29">
        <v>0.5</v>
      </c>
      <c r="C171" s="30">
        <v>18</v>
      </c>
      <c r="D171" s="30">
        <v>35</v>
      </c>
      <c r="E171" s="30">
        <v>70</v>
      </c>
      <c r="F171" s="30">
        <v>105</v>
      </c>
      <c r="H171" s="16"/>
      <c r="I171" s="16"/>
      <c r="J171" s="16"/>
      <c r="K171" s="16"/>
      <c r="L171" s="16"/>
      <c r="M171" s="16"/>
      <c r="N171" s="16"/>
      <c r="O171" s="16"/>
    </row>
    <row r="172" spans="1:15" ht="12.75">
      <c r="A172" s="5" t="e">
        <f>IF(Лист1!#REF!="Срочное производство","","HA-50 Type3")</f>
        <v>#REF!</v>
      </c>
      <c r="B172" s="29">
        <v>0.8</v>
      </c>
      <c r="C172" s="30">
        <v>18</v>
      </c>
      <c r="D172" s="30">
        <v>35</v>
      </c>
      <c r="E172" s="30">
        <v>70</v>
      </c>
      <c r="F172" s="30">
        <v>105</v>
      </c>
      <c r="H172" s="16"/>
      <c r="I172" s="16"/>
      <c r="J172" s="16"/>
      <c r="K172" s="16"/>
      <c r="L172" s="16"/>
      <c r="M172" s="16"/>
      <c r="N172" s="16"/>
      <c r="O172" s="16"/>
    </row>
    <row r="173" spans="1:15" ht="12.75">
      <c r="A173" s="5" t="e">
        <f>IF(Лист1!#REF!="Срочное производство","","HA-50 Type3")</f>
        <v>#REF!</v>
      </c>
      <c r="B173" s="29">
        <v>1</v>
      </c>
      <c r="C173" s="30">
        <v>18</v>
      </c>
      <c r="D173" s="30">
        <v>35</v>
      </c>
      <c r="E173" s="30">
        <v>70</v>
      </c>
      <c r="F173" s="30">
        <v>105</v>
      </c>
      <c r="H173" s="16"/>
      <c r="I173" s="16"/>
      <c r="J173" s="16"/>
      <c r="K173" s="16"/>
      <c r="L173" s="16"/>
      <c r="M173" s="16"/>
      <c r="N173" s="16"/>
      <c r="O173" s="16"/>
    </row>
    <row r="174" spans="1:15" ht="12.75">
      <c r="A174" s="5" t="s">
        <v>88</v>
      </c>
      <c r="B174" s="29">
        <v>1.5</v>
      </c>
      <c r="C174" s="30" t="e">
        <f>IF(Лист1!#REF!="Срочное производство","",18)</f>
        <v>#REF!</v>
      </c>
      <c r="D174" s="30">
        <v>35</v>
      </c>
      <c r="E174" s="30" t="e">
        <f>IF(Лист1!#REF!="Срочное производство","",70)</f>
        <v>#REF!</v>
      </c>
      <c r="F174" s="30" t="e">
        <f>IF(Лист1!#REF!="Срочное производство","",105)</f>
        <v>#REF!</v>
      </c>
      <c r="H174" s="16"/>
      <c r="I174" s="16"/>
      <c r="J174" s="16"/>
      <c r="K174" s="16"/>
      <c r="L174" s="16"/>
      <c r="M174" s="16"/>
      <c r="N174" s="16"/>
      <c r="O174" s="16"/>
    </row>
    <row r="175" spans="1:15" ht="12.75">
      <c r="A175" s="5" t="e">
        <f>IF(Лист1!#REF!="Срочное производство","","HA-50 Type3")</f>
        <v>#REF!</v>
      </c>
      <c r="B175" s="29">
        <v>2</v>
      </c>
      <c r="C175" s="30">
        <v>18</v>
      </c>
      <c r="D175" s="30">
        <v>35</v>
      </c>
      <c r="E175" s="30">
        <v>70</v>
      </c>
      <c r="F175" s="30">
        <v>105</v>
      </c>
      <c r="H175" s="16"/>
      <c r="I175" s="16"/>
      <c r="J175" s="16"/>
      <c r="K175" s="16"/>
      <c r="L175" s="16"/>
      <c r="M175" s="16"/>
      <c r="N175" s="16"/>
      <c r="O175" s="16"/>
    </row>
    <row r="176" spans="1:15" ht="12.75">
      <c r="A176" s="5" t="s">
        <v>89</v>
      </c>
      <c r="B176" s="29">
        <v>1.5</v>
      </c>
      <c r="C176" s="30">
        <v>35</v>
      </c>
      <c r="H176" s="16"/>
      <c r="I176" s="16"/>
      <c r="J176" s="16"/>
      <c r="K176" s="16"/>
      <c r="L176" s="16"/>
      <c r="M176" s="16"/>
      <c r="N176" s="16"/>
      <c r="O176" s="16"/>
    </row>
    <row r="177" spans="8:15" ht="12.75">
      <c r="H177" s="16"/>
      <c r="I177" s="16"/>
      <c r="J177" s="16"/>
      <c r="K177" s="16"/>
      <c r="L177" s="16"/>
      <c r="M177" s="16"/>
      <c r="N177" s="16"/>
      <c r="O177" s="16"/>
    </row>
    <row r="178" spans="8:15" ht="12.75">
      <c r="H178" s="16"/>
      <c r="I178" s="16"/>
      <c r="J178" s="16"/>
      <c r="K178" s="16"/>
      <c r="L178" s="16"/>
      <c r="M178" s="16"/>
      <c r="N178" s="16"/>
      <c r="O178" s="16"/>
    </row>
    <row r="179" spans="8:15" ht="12.75">
      <c r="H179" s="16"/>
      <c r="I179" s="16"/>
      <c r="J179" s="16"/>
      <c r="K179" s="16"/>
      <c r="L179" s="16"/>
      <c r="M179" s="16"/>
      <c r="N179" s="16"/>
      <c r="O179" s="16"/>
    </row>
    <row r="180" spans="8:15" ht="12.75">
      <c r="H180" s="16"/>
      <c r="I180" s="16"/>
      <c r="J180" s="16"/>
      <c r="K180" s="16"/>
      <c r="L180" s="16"/>
      <c r="M180" s="16"/>
      <c r="N180" s="16"/>
      <c r="O180" s="16"/>
    </row>
    <row r="181" spans="8:15" ht="12.75">
      <c r="H181" s="16"/>
      <c r="I181" s="16"/>
      <c r="J181" s="16"/>
      <c r="K181" s="16"/>
      <c r="L181" s="16"/>
      <c r="M181" s="16"/>
      <c r="N181" s="16"/>
      <c r="O181" s="16"/>
    </row>
    <row r="182" spans="8:15" ht="12.75">
      <c r="H182" s="16"/>
      <c r="I182" s="16"/>
      <c r="J182" s="16"/>
      <c r="K182" s="16"/>
      <c r="L182" s="16"/>
      <c r="M182" s="16"/>
      <c r="N182" s="16"/>
      <c r="O182" s="16"/>
    </row>
  </sheetData>
  <sheetProtection selectLockedCells="1" selectUnlockedCells="1"/>
  <dataValidations count="2">
    <dataValidation type="list" allowBlank="1" showErrorMessage="1" sqref="J32">
      <formula1>MPP</formula1>
      <formula2>0</formula2>
    </dataValidation>
    <dataValidation type="list" allowBlank="1" showErrorMessage="1" sqref="J34">
      <formula1>tolshina2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" sqref="S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67"/>
  <sheetViews>
    <sheetView zoomScalePageLayoutView="0" workbookViewId="0" topLeftCell="A82">
      <selection activeCell="B128" sqref="B128"/>
    </sheetView>
  </sheetViews>
  <sheetFormatPr defaultColWidth="9.00390625" defaultRowHeight="12.75"/>
  <cols>
    <col min="2" max="30" width="17.75390625" style="0" customWidth="1"/>
    <col min="31" max="31" width="17.75390625" style="32" customWidth="1"/>
    <col min="32" max="36" width="17.75390625" style="0" customWidth="1"/>
  </cols>
  <sheetData>
    <row r="1" spans="1:34" ht="12.75">
      <c r="A1" s="22"/>
      <c r="C1">
        <v>0.208</v>
      </c>
      <c r="D1">
        <v>0.254</v>
      </c>
      <c r="E1">
        <v>0.3</v>
      </c>
      <c r="F1">
        <v>0.305</v>
      </c>
      <c r="G1">
        <v>0.338</v>
      </c>
      <c r="H1">
        <v>0.406</v>
      </c>
      <c r="I1">
        <v>0.5</v>
      </c>
      <c r="J1">
        <v>0.508</v>
      </c>
      <c r="K1">
        <v>0.51</v>
      </c>
      <c r="L1">
        <v>0.61</v>
      </c>
      <c r="M1">
        <v>0.635</v>
      </c>
      <c r="N1">
        <v>0.76</v>
      </c>
      <c r="O1">
        <v>0.762</v>
      </c>
      <c r="P1">
        <v>0.79</v>
      </c>
      <c r="Q1" s="33">
        <v>0.8</v>
      </c>
      <c r="R1" s="33">
        <v>0.813</v>
      </c>
      <c r="S1" s="34">
        <v>1</v>
      </c>
      <c r="T1" s="35">
        <v>1.016</v>
      </c>
      <c r="U1" s="34">
        <v>1.14</v>
      </c>
      <c r="V1" s="34">
        <v>1.2</v>
      </c>
      <c r="W1" s="34">
        <v>1.27</v>
      </c>
      <c r="X1" s="33">
        <v>1.5</v>
      </c>
      <c r="Y1" s="36">
        <v>1.52</v>
      </c>
      <c r="Z1" s="36">
        <v>1.58</v>
      </c>
      <c r="AA1" s="36">
        <v>1.524</v>
      </c>
      <c r="AB1" s="34">
        <v>1.6</v>
      </c>
      <c r="AC1" s="33">
        <v>1.8</v>
      </c>
      <c r="AD1" s="34">
        <v>2</v>
      </c>
      <c r="AE1" s="35">
        <v>2.032</v>
      </c>
      <c r="AF1" s="34">
        <v>2.36</v>
      </c>
      <c r="AG1" s="34">
        <v>3</v>
      </c>
      <c r="AH1" s="34"/>
    </row>
    <row r="2" spans="2:33" ht="12.75">
      <c r="B2">
        <v>0.2</v>
      </c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F2" s="37"/>
      <c r="AG2" s="37"/>
    </row>
    <row r="3" spans="1:34" ht="12.75">
      <c r="A3" t="s">
        <v>27</v>
      </c>
      <c r="B3" s="38">
        <v>0.2</v>
      </c>
      <c r="C3" s="38">
        <v>0.208</v>
      </c>
      <c r="D3" s="38">
        <v>0.254</v>
      </c>
      <c r="E3" s="38">
        <v>0.3</v>
      </c>
      <c r="F3" s="38">
        <v>0.305</v>
      </c>
      <c r="G3" s="38">
        <v>0.338</v>
      </c>
      <c r="H3" s="38">
        <v>0.406</v>
      </c>
      <c r="I3" s="39">
        <v>0.5</v>
      </c>
      <c r="J3" s="40">
        <v>0.508</v>
      </c>
      <c r="K3" s="40">
        <v>0.51</v>
      </c>
      <c r="L3" s="40">
        <v>0.61</v>
      </c>
      <c r="M3" s="40">
        <v>0.635</v>
      </c>
      <c r="N3" s="40">
        <v>0.76</v>
      </c>
      <c r="O3" s="40">
        <v>0.762</v>
      </c>
      <c r="P3" s="40">
        <v>0.79</v>
      </c>
      <c r="Q3" s="39">
        <v>0.8</v>
      </c>
      <c r="R3" s="39">
        <v>0.813</v>
      </c>
      <c r="S3" s="39">
        <v>1</v>
      </c>
      <c r="T3" s="40">
        <v>1.016</v>
      </c>
      <c r="U3" s="39">
        <v>1.14</v>
      </c>
      <c r="V3" s="41"/>
      <c r="W3" s="41">
        <v>1.27</v>
      </c>
      <c r="X3" s="39">
        <v>1.5</v>
      </c>
      <c r="Y3" s="40">
        <v>1.52</v>
      </c>
      <c r="Z3" s="40">
        <v>1.58</v>
      </c>
      <c r="AA3" s="40">
        <v>1.524</v>
      </c>
      <c r="AB3" s="41"/>
      <c r="AC3" s="41"/>
      <c r="AD3" s="42">
        <v>2</v>
      </c>
      <c r="AE3" s="38">
        <v>2.032</v>
      </c>
      <c r="AF3" s="43">
        <v>2.36</v>
      </c>
      <c r="AG3" s="43">
        <v>3</v>
      </c>
      <c r="AH3" s="44"/>
    </row>
    <row r="4" spans="2:33" ht="12.75">
      <c r="B4" s="1"/>
      <c r="C4" s="1"/>
      <c r="D4" s="1"/>
      <c r="E4" s="1"/>
      <c r="F4" s="1"/>
      <c r="G4" s="1"/>
      <c r="H4" s="1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6"/>
      <c r="AF4" s="1"/>
      <c r="AG4" s="1"/>
    </row>
    <row r="5" spans="2:33" ht="12.75">
      <c r="B5" s="47"/>
      <c r="C5" s="47"/>
      <c r="D5" s="47"/>
      <c r="E5" s="47"/>
      <c r="F5" s="47"/>
      <c r="G5" s="47"/>
      <c r="H5" s="47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9"/>
      <c r="AF5" s="47"/>
      <c r="AG5" s="47"/>
    </row>
    <row r="6" spans="2:33" ht="1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2:33" ht="12.75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2:33" ht="12.75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</row>
    <row r="9" spans="2:33" ht="15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</row>
    <row r="10" spans="2:33" ht="12.75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2:33" ht="12.75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2:33" ht="15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</row>
    <row r="13" spans="2:33" ht="15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2:33" ht="15"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</row>
    <row r="15" spans="2:33" ht="15">
      <c r="B1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C1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D1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E1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F1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G1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H1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I1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J1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K1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L1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M1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N1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O1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P1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Q1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R1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S1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T1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U1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V1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W1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X1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Y1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Z1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A1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B1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C1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D1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E1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F1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G1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</row>
    <row r="16" spans="2:33" ht="15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</row>
    <row r="17" spans="2:33" ht="15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</row>
    <row r="18" spans="2:33" ht="15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</row>
    <row r="19" spans="2:33" ht="12.75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2:33" ht="12.75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2:33" ht="15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</row>
    <row r="22" spans="2:33" ht="12.7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2:33" ht="12.75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</row>
    <row r="24" spans="2:33" ht="15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</row>
    <row r="25" spans="2:33" ht="12.75">
      <c r="B25" s="47"/>
      <c r="C25" s="47"/>
      <c r="D25" s="47"/>
      <c r="E25" s="47"/>
      <c r="F25" s="47"/>
      <c r="G25" s="47"/>
      <c r="H25" s="47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9"/>
      <c r="AF25" s="47"/>
      <c r="AG25" s="47"/>
    </row>
    <row r="26" spans="2:33" ht="12.75">
      <c r="B26" s="1"/>
      <c r="C26" s="1"/>
      <c r="D26" s="1"/>
      <c r="E26" s="1"/>
      <c r="F26" s="1"/>
      <c r="G26" s="1"/>
      <c r="H26" s="1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46"/>
      <c r="AF26" s="1"/>
      <c r="AG26" s="1"/>
    </row>
    <row r="29" spans="2:33" ht="12.75">
      <c r="B29" s="56"/>
      <c r="C29" s="56"/>
      <c r="D29" s="56"/>
      <c r="E29" s="56"/>
      <c r="F29" s="56"/>
      <c r="G29" s="56"/>
      <c r="H29" s="56"/>
      <c r="I29" s="57">
        <v>0.5</v>
      </c>
      <c r="J29" s="57"/>
      <c r="K29" s="57"/>
      <c r="L29" s="57"/>
      <c r="M29" s="57"/>
      <c r="N29" s="57"/>
      <c r="O29" s="57"/>
      <c r="P29" s="57"/>
      <c r="Q29" s="57">
        <v>0.8</v>
      </c>
      <c r="R29" s="57"/>
      <c r="S29" s="57">
        <v>1</v>
      </c>
      <c r="T29" s="57"/>
      <c r="U29" s="57"/>
      <c r="V29" s="58"/>
      <c r="W29" s="58"/>
      <c r="X29" s="57">
        <v>1.5</v>
      </c>
      <c r="Y29" s="57"/>
      <c r="Z29" s="57"/>
      <c r="AA29" s="57"/>
      <c r="AB29" s="58"/>
      <c r="AC29" s="58"/>
      <c r="AD29" s="57">
        <v>2</v>
      </c>
      <c r="AE29" s="38"/>
      <c r="AF29" s="56"/>
      <c r="AG29" s="56"/>
    </row>
    <row r="30" spans="2:33" ht="12.75">
      <c r="B30" s="1"/>
      <c r="C30" s="1"/>
      <c r="D30" s="1"/>
      <c r="E30" s="1"/>
      <c r="F30" s="1"/>
      <c r="G30" s="1"/>
      <c r="H30" s="1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6"/>
      <c r="AF30" s="1"/>
      <c r="AG30" s="1"/>
    </row>
    <row r="31" spans="2:33" ht="12.75">
      <c r="B31" s="47"/>
      <c r="C31" s="47"/>
      <c r="D31" s="47"/>
      <c r="E31" s="47"/>
      <c r="F31" s="47"/>
      <c r="G31" s="47"/>
      <c r="H31" s="47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9"/>
      <c r="AF31" s="47"/>
      <c r="AG31" s="47"/>
    </row>
    <row r="32" spans="2:33" ht="15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</row>
    <row r="33" spans="2:33" ht="12.75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</row>
    <row r="34" spans="2:33" ht="12.75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</row>
    <row r="35" spans="2:33" ht="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</row>
    <row r="36" spans="2:33" ht="12.7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</row>
    <row r="37" spans="2:33" ht="12.7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</row>
    <row r="38" spans="2:33" ht="15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</row>
    <row r="39" spans="2:33" ht="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</row>
    <row r="40" spans="2:33" ht="15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</row>
    <row r="41" spans="2:33" ht="15">
      <c r="B41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C41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D41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E41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F41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G41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H41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I41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J41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K41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L41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M41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N41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O41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P41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Q41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R41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S41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T41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U41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V41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W41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X41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Y41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Z41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A41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B41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C41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D41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E41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F41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G41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</row>
    <row r="42" spans="2:33" ht="15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</row>
    <row r="43" spans="2:33" ht="1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</row>
    <row r="44" spans="2:33" ht="15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</row>
    <row r="45" spans="2:33" ht="12.75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</row>
    <row r="46" spans="2:33" ht="12.75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</row>
    <row r="47" spans="2:33" ht="1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</row>
    <row r="48" spans="2:33" ht="12.7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</row>
    <row r="49" spans="2:33" ht="12.75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</row>
    <row r="50" spans="2:33" ht="1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</row>
    <row r="51" spans="2:33" ht="12.75">
      <c r="B51" s="47"/>
      <c r="C51" s="47"/>
      <c r="D51" s="47"/>
      <c r="E51" s="47"/>
      <c r="F51" s="47"/>
      <c r="G51" s="47"/>
      <c r="H51" s="47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9"/>
      <c r="AF51" s="47"/>
      <c r="AG51" s="47"/>
    </row>
    <row r="52" spans="2:33" ht="12.75">
      <c r="B52" s="1"/>
      <c r="C52" s="1"/>
      <c r="D52" s="1"/>
      <c r="E52" s="1"/>
      <c r="F52" s="1"/>
      <c r="G52" s="1"/>
      <c r="H52" s="1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46"/>
      <c r="AF52" s="1"/>
      <c r="AG52" s="1"/>
    </row>
    <row r="55" spans="1:33" ht="12.75">
      <c r="A55">
        <v>1</v>
      </c>
      <c r="B55" s="43"/>
      <c r="C55" s="43"/>
      <c r="D55" s="43"/>
      <c r="E55" s="43"/>
      <c r="F55" s="43"/>
      <c r="G55" s="43"/>
      <c r="H55" s="43"/>
      <c r="I55" s="39">
        <v>0.5</v>
      </c>
      <c r="J55" s="39"/>
      <c r="K55" s="39"/>
      <c r="L55" s="39"/>
      <c r="M55" s="39"/>
      <c r="N55" s="39"/>
      <c r="O55" s="39"/>
      <c r="P55" s="39"/>
      <c r="Q55" s="39">
        <v>0.8</v>
      </c>
      <c r="R55" s="39"/>
      <c r="S55" s="39">
        <v>1</v>
      </c>
      <c r="T55" s="39"/>
      <c r="U55" s="39"/>
      <c r="V55" s="41"/>
      <c r="W55" s="41"/>
      <c r="X55" s="39">
        <v>1.5</v>
      </c>
      <c r="Y55" s="39"/>
      <c r="Z55" s="39"/>
      <c r="AA55" s="39"/>
      <c r="AB55" s="41"/>
      <c r="AC55" s="41"/>
      <c r="AD55" s="42">
        <v>2</v>
      </c>
      <c r="AE55" s="38"/>
      <c r="AF55" s="43"/>
      <c r="AG55" s="43"/>
    </row>
    <row r="56" spans="2:33" ht="12.75">
      <c r="B56" s="1"/>
      <c r="C56" s="1"/>
      <c r="D56" s="1"/>
      <c r="E56" s="1"/>
      <c r="F56" s="1"/>
      <c r="G56" s="1"/>
      <c r="H56" s="1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6"/>
      <c r="AF56" s="1"/>
      <c r="AG56" s="1"/>
    </row>
    <row r="57" spans="2:33" ht="12.75">
      <c r="B57" s="47"/>
      <c r="C57" s="47"/>
      <c r="D57" s="47"/>
      <c r="E57" s="47"/>
      <c r="F57" s="47"/>
      <c r="G57" s="47"/>
      <c r="H57" s="47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9"/>
      <c r="AF57" s="47"/>
      <c r="AG57" s="47"/>
    </row>
    <row r="58" spans="2:33" ht="15">
      <c r="B58" s="59" t="e">
        <f>CONCATENATE("фольга ",Лист1!#REF!," мкм")</f>
        <v>#REF!</v>
      </c>
      <c r="C58" s="59" t="e">
        <f>CONCATENATE("фольга ",Лист1!#REF!," мкм")</f>
        <v>#REF!</v>
      </c>
      <c r="D58" s="59" t="e">
        <f>CONCATENATE("фольга ",Лист1!#REF!," мкм")</f>
        <v>#REF!</v>
      </c>
      <c r="E58" s="59" t="e">
        <f>CONCATENATE("фольга ",Лист1!#REF!," мкм")</f>
        <v>#REF!</v>
      </c>
      <c r="F58" s="59" t="e">
        <f>CONCATENATE("фольга ",Лист1!#REF!," мкм")</f>
        <v>#REF!</v>
      </c>
      <c r="G58" s="59" t="e">
        <f>CONCATENATE("фольга ",Лист1!#REF!," мкм")</f>
        <v>#REF!</v>
      </c>
      <c r="H58" s="59" t="e">
        <f>CONCATENATE("фольга ",Лист1!#REF!," мкм")</f>
        <v>#REF!</v>
      </c>
      <c r="I58" s="59" t="e">
        <f>CONCATENATE("фольга ",Лист1!#REF!," мкм")</f>
        <v>#REF!</v>
      </c>
      <c r="J58" s="59" t="e">
        <f>CONCATENATE("фольга ",Лист1!#REF!," мкм")</f>
        <v>#REF!</v>
      </c>
      <c r="K58" s="59" t="e">
        <f>CONCATENATE("фольга ",Лист1!#REF!," мкм")</f>
        <v>#REF!</v>
      </c>
      <c r="L58" s="59" t="e">
        <f>CONCATENATE("фольга ",Лист1!#REF!," мкм")</f>
        <v>#REF!</v>
      </c>
      <c r="M58" s="59" t="e">
        <f>CONCATENATE("фольга ",Лист1!#REF!," мкм")</f>
        <v>#REF!</v>
      </c>
      <c r="N58" s="59" t="e">
        <f>CONCATENATE("фольга ",Лист1!#REF!," мкм")</f>
        <v>#REF!</v>
      </c>
      <c r="O58" s="59" t="e">
        <f>CONCATENATE("фольга ",Лист1!#REF!," мкм")</f>
        <v>#REF!</v>
      </c>
      <c r="P58" s="59" t="e">
        <f>CONCATENATE("фольга ",Лист1!#REF!," мкм")</f>
        <v>#REF!</v>
      </c>
      <c r="Q58" s="59" t="e">
        <f>CONCATENATE("фольга ",Лист1!#REF!," мкм")</f>
        <v>#REF!</v>
      </c>
      <c r="R58" s="59" t="e">
        <f>CONCATENATE("фольга ",Лист1!#REF!," мкм")</f>
        <v>#REF!</v>
      </c>
      <c r="S58" s="59" t="e">
        <f>CONCATENATE("фольга ",Лист1!#REF!," мкм")</f>
        <v>#REF!</v>
      </c>
      <c r="T58" s="59" t="e">
        <f>CONCATENATE("фольга ",Лист1!#REF!," мкм")</f>
        <v>#REF!</v>
      </c>
      <c r="U58" s="59" t="e">
        <f>CONCATENATE("фольга ",Лист1!#REF!," мкм")</f>
        <v>#REF!</v>
      </c>
      <c r="V58" s="59" t="e">
        <f>CONCATENATE("фольга ",Лист1!#REF!," мкм")</f>
        <v>#REF!</v>
      </c>
      <c r="W58" s="59" t="e">
        <f>CONCATENATE("фольга ",Лист1!#REF!," мкм")</f>
        <v>#REF!</v>
      </c>
      <c r="X58" s="59" t="e">
        <f>CONCATENATE("фольга ",Лист1!#REF!," мкм")</f>
        <v>#REF!</v>
      </c>
      <c r="Y58" s="59" t="e">
        <f>CONCATENATE("фольга ",Лист1!#REF!," мкм")</f>
        <v>#REF!</v>
      </c>
      <c r="Z58" s="59" t="e">
        <f>CONCATENATE("фольга ",Лист1!#REF!," мкм")</f>
        <v>#REF!</v>
      </c>
      <c r="AA58" s="59" t="e">
        <f>CONCATENATE("фольга ",Лист1!#REF!," мкм")</f>
        <v>#REF!</v>
      </c>
      <c r="AB58" s="59" t="e">
        <f>CONCATENATE("фольга ",Лист1!#REF!," мкм")</f>
        <v>#REF!</v>
      </c>
      <c r="AC58" s="59" t="e">
        <f>CONCATENATE("фольга ",Лист1!#REF!," мкм")</f>
        <v>#REF!</v>
      </c>
      <c r="AD58" s="59" t="e">
        <f>CONCATENATE("фольга ",Лист1!#REF!," мкм")</f>
        <v>#REF!</v>
      </c>
      <c r="AE58" s="59" t="e">
        <f>CONCATENATE("фольга ",Лист1!#REF!," мкм")</f>
        <v>#REF!</v>
      </c>
      <c r="AF58" s="59" t="e">
        <f>CONCATENATE("фольга ",Лист1!#REF!," мкм")</f>
        <v>#REF!</v>
      </c>
      <c r="AG58" s="59" t="e">
        <f>CONCATENATE("фольга ",Лист1!#REF!," мкм")</f>
        <v>#REF!</v>
      </c>
    </row>
    <row r="59" spans="2:33" ht="12.75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</row>
    <row r="60" spans="2:33" ht="12.75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</row>
    <row r="61" spans="2:33" ht="15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</row>
    <row r="62" spans="2:33" ht="12.75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</row>
    <row r="63" spans="2:33" ht="12.75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</row>
    <row r="64" spans="2:33" ht="1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</row>
    <row r="65" spans="2:33" ht="1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</row>
    <row r="66" spans="2:33" ht="1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</row>
    <row r="67" spans="2:33" ht="15">
      <c r="B67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C67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D67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E67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F67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G67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H67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I67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J67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K67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L67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M67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N67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O67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P67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Q67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R67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S67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T67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U67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V67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W67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X67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Y67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Z67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A67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B67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C67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D67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E67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F67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G67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</row>
    <row r="68" spans="2:33" ht="15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</row>
    <row r="69" spans="2:33" ht="15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</row>
    <row r="70" spans="2:33" ht="1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</row>
    <row r="71" spans="2:33" ht="12.75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</row>
    <row r="72" spans="2:33" ht="12.75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</row>
    <row r="73" spans="2:33" ht="15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</row>
    <row r="74" spans="2:33" ht="12.75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</row>
    <row r="75" spans="2:33" ht="12.75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</row>
    <row r="76" spans="2:33" ht="15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</row>
    <row r="77" spans="2:33" ht="12.75">
      <c r="B77" s="47"/>
      <c r="C77" s="47"/>
      <c r="D77" s="47"/>
      <c r="E77" s="47"/>
      <c r="F77" s="47"/>
      <c r="G77" s="47"/>
      <c r="H77" s="47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9"/>
      <c r="AF77" s="47"/>
      <c r="AG77" s="47"/>
    </row>
    <row r="78" spans="2:33" ht="12.75">
      <c r="B78" s="1"/>
      <c r="C78" s="1"/>
      <c r="D78" s="1"/>
      <c r="E78" s="1"/>
      <c r="F78" s="1"/>
      <c r="G78" s="1"/>
      <c r="H78" s="1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46"/>
      <c r="AF78" s="1"/>
      <c r="AG78" s="1"/>
    </row>
    <row r="81" spans="2:33" ht="12.75">
      <c r="B81" s="56"/>
      <c r="C81" s="56"/>
      <c r="D81" s="56"/>
      <c r="E81" s="56"/>
      <c r="F81" s="56"/>
      <c r="G81" s="56"/>
      <c r="H81" s="56"/>
      <c r="I81" s="57">
        <v>0.5</v>
      </c>
      <c r="J81" s="57"/>
      <c r="K81" s="57"/>
      <c r="L81" s="57"/>
      <c r="M81" s="57"/>
      <c r="N81" s="57"/>
      <c r="O81" s="57"/>
      <c r="P81" s="57"/>
      <c r="Q81" s="57">
        <v>0.8</v>
      </c>
      <c r="R81" s="57"/>
      <c r="S81" s="57">
        <v>1</v>
      </c>
      <c r="T81" s="57"/>
      <c r="U81" s="57"/>
      <c r="V81" s="58"/>
      <c r="W81" s="58"/>
      <c r="X81" s="57">
        <v>1.5</v>
      </c>
      <c r="Y81" s="57"/>
      <c r="Z81" s="57"/>
      <c r="AA81" s="57"/>
      <c r="AB81" s="58"/>
      <c r="AC81" s="58"/>
      <c r="AD81" s="57">
        <v>2</v>
      </c>
      <c r="AE81" s="38"/>
      <c r="AF81" s="56"/>
      <c r="AG81" s="56"/>
    </row>
    <row r="82" spans="2:33" ht="12.75">
      <c r="B82" s="1"/>
      <c r="C82" s="1"/>
      <c r="D82" s="1"/>
      <c r="E82" s="1"/>
      <c r="F82" s="1"/>
      <c r="G82" s="1"/>
      <c r="H82" s="1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6"/>
      <c r="AF82" s="1"/>
      <c r="AG82" s="1"/>
    </row>
    <row r="83" spans="2:33" ht="12.75">
      <c r="B83" s="47"/>
      <c r="C83" s="47"/>
      <c r="D83" s="47"/>
      <c r="E83" s="47"/>
      <c r="F83" s="47"/>
      <c r="G83" s="47"/>
      <c r="H83" s="47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9"/>
      <c r="AF83" s="47"/>
      <c r="AG83" s="47"/>
    </row>
    <row r="84" spans="2:33" ht="15">
      <c r="B84" s="59" t="s">
        <v>90</v>
      </c>
      <c r="C84" s="59" t="s">
        <v>90</v>
      </c>
      <c r="D84" s="59" t="s">
        <v>90</v>
      </c>
      <c r="E84" s="59" t="s">
        <v>90</v>
      </c>
      <c r="F84" s="59" t="s">
        <v>90</v>
      </c>
      <c r="G84" s="59" t="s">
        <v>90</v>
      </c>
      <c r="H84" s="59" t="s">
        <v>90</v>
      </c>
      <c r="I84" s="59" t="s">
        <v>90</v>
      </c>
      <c r="J84" s="59" t="s">
        <v>90</v>
      </c>
      <c r="K84" s="59" t="s">
        <v>90</v>
      </c>
      <c r="L84" s="59" t="s">
        <v>90</v>
      </c>
      <c r="M84" s="59" t="s">
        <v>90</v>
      </c>
      <c r="N84" s="59" t="s">
        <v>90</v>
      </c>
      <c r="O84" s="59" t="s">
        <v>90</v>
      </c>
      <c r="P84" s="59" t="s">
        <v>90</v>
      </c>
      <c r="Q84" s="59" t="s">
        <v>90</v>
      </c>
      <c r="R84" s="59" t="s">
        <v>90</v>
      </c>
      <c r="S84" s="59" t="s">
        <v>90</v>
      </c>
      <c r="T84" s="59" t="s">
        <v>90</v>
      </c>
      <c r="U84" s="59" t="s">
        <v>90</v>
      </c>
      <c r="V84" s="59" t="s">
        <v>90</v>
      </c>
      <c r="W84" s="59" t="s">
        <v>90</v>
      </c>
      <c r="X84" s="59" t="s">
        <v>90</v>
      </c>
      <c r="Y84" s="59" t="s">
        <v>90</v>
      </c>
      <c r="Z84" s="59" t="s">
        <v>90</v>
      </c>
      <c r="AA84" s="59" t="s">
        <v>90</v>
      </c>
      <c r="AB84" s="59" t="s">
        <v>90</v>
      </c>
      <c r="AC84" s="59" t="s">
        <v>90</v>
      </c>
      <c r="AD84" s="59" t="s">
        <v>90</v>
      </c>
      <c r="AE84" s="59" t="s">
        <v>90</v>
      </c>
      <c r="AF84" s="59" t="s">
        <v>90</v>
      </c>
      <c r="AG84" s="59" t="s">
        <v>90</v>
      </c>
    </row>
    <row r="85" spans="2:33" ht="12.75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</row>
    <row r="86" spans="2:33" ht="12.75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</row>
    <row r="87" spans="2:33" ht="1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</row>
    <row r="88" spans="2:33" ht="12.75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</row>
    <row r="89" spans="2:33" ht="12.75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</row>
    <row r="90" spans="2:33" ht="1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</row>
    <row r="91" spans="2:33" ht="15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</row>
    <row r="92" spans="2:33" ht="15"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</row>
    <row r="93" spans="2:33" ht="15">
      <c r="B93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C93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D93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E93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F93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G93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H93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I93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J93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K93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L93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M93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N93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O93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P93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Q93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R93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S93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T93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U93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V93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W93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X93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Y93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Z93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A93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B93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C93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D93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E93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F93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G93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</row>
    <row r="94" spans="2:33" ht="15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</row>
    <row r="95" spans="2:33" ht="15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</row>
    <row r="96" spans="2:33" ht="15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</row>
    <row r="97" spans="2:33" ht="12.75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</row>
    <row r="98" spans="2:33" ht="12.75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</row>
    <row r="99" spans="2:33" ht="15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</row>
    <row r="100" spans="2:33" ht="12.75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</row>
    <row r="101" spans="2:33" ht="12.75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</row>
    <row r="102" spans="2:33" ht="15"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</row>
    <row r="103" spans="2:33" ht="12.75">
      <c r="B103" s="47"/>
      <c r="C103" s="47"/>
      <c r="D103" s="47"/>
      <c r="E103" s="47"/>
      <c r="F103" s="47"/>
      <c r="G103" s="47"/>
      <c r="H103" s="47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9"/>
      <c r="AF103" s="47"/>
      <c r="AG103" s="47"/>
    </row>
    <row r="104" spans="2:33" ht="12.75">
      <c r="B104" s="1"/>
      <c r="C104" s="1"/>
      <c r="D104" s="1"/>
      <c r="E104" s="1"/>
      <c r="F104" s="1"/>
      <c r="G104" s="1"/>
      <c r="H104" s="1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46"/>
      <c r="AF104" s="1"/>
      <c r="AG104" s="1"/>
    </row>
    <row r="107" spans="1:33" ht="12.75">
      <c r="A107">
        <v>2</v>
      </c>
      <c r="B107" s="43"/>
      <c r="C107" s="43"/>
      <c r="D107" s="43"/>
      <c r="E107" s="43"/>
      <c r="F107" s="43"/>
      <c r="G107" s="43"/>
      <c r="H107" s="43"/>
      <c r="I107" s="39">
        <v>0.5</v>
      </c>
      <c r="J107" s="39"/>
      <c r="K107" s="39"/>
      <c r="L107" s="39"/>
      <c r="M107" s="39"/>
      <c r="N107" s="39"/>
      <c r="O107" s="39"/>
      <c r="P107" s="39"/>
      <c r="Q107" s="39">
        <v>0.8</v>
      </c>
      <c r="R107" s="39"/>
      <c r="S107" s="39">
        <v>1</v>
      </c>
      <c r="T107" s="39"/>
      <c r="U107" s="39"/>
      <c r="V107" s="41"/>
      <c r="W107" s="41"/>
      <c r="X107" s="39">
        <v>1.5</v>
      </c>
      <c r="Y107" s="39"/>
      <c r="Z107" s="39"/>
      <c r="AA107" s="39"/>
      <c r="AB107" s="41"/>
      <c r="AC107" s="41"/>
      <c r="AD107" s="42">
        <v>2</v>
      </c>
      <c r="AE107" s="38"/>
      <c r="AF107" s="43"/>
      <c r="AG107" s="43"/>
    </row>
    <row r="108" spans="2:33" ht="12.75">
      <c r="B108" s="1"/>
      <c r="C108" s="1"/>
      <c r="D108" s="1"/>
      <c r="E108" s="1"/>
      <c r="F108" s="1"/>
      <c r="G108" s="1"/>
      <c r="H108" s="1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6"/>
      <c r="AF108" s="1"/>
      <c r="AG108" s="1"/>
    </row>
    <row r="109" spans="2:33" ht="12.75">
      <c r="B109" s="47"/>
      <c r="C109" s="47"/>
      <c r="D109" s="47"/>
      <c r="E109" s="47"/>
      <c r="F109" s="47"/>
      <c r="G109" s="47"/>
      <c r="H109" s="47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9"/>
      <c r="AF109" s="47"/>
      <c r="AG109" s="47"/>
    </row>
    <row r="110" spans="2:33" ht="15">
      <c r="B110" s="59" t="e">
        <f>CONCATENATE("фольга ",Лист1!#REF!," мкм")</f>
        <v>#REF!</v>
      </c>
      <c r="C110" s="59" t="e">
        <f>CONCATENATE("фольга ",Лист1!#REF!," мкм")</f>
        <v>#REF!</v>
      </c>
      <c r="D110" s="59" t="e">
        <f>CONCATENATE("фольга ",Лист1!#REF!," мкм")</f>
        <v>#REF!</v>
      </c>
      <c r="E110" s="59" t="e">
        <f>CONCATENATE("фольга ",Лист1!#REF!," мкм")</f>
        <v>#REF!</v>
      </c>
      <c r="F110" s="59" t="e">
        <f>CONCATENATE("фольга ",Лист1!#REF!," мкм")</f>
        <v>#REF!</v>
      </c>
      <c r="G110" s="59" t="e">
        <f>CONCATENATE("фольга ",Лист1!#REF!," мкм")</f>
        <v>#REF!</v>
      </c>
      <c r="H110" s="59" t="e">
        <f>CONCATENATE("фольга ",Лист1!#REF!," мкм")</f>
        <v>#REF!</v>
      </c>
      <c r="I110" s="59" t="e">
        <f>CONCATENATE("фольга ",Лист1!#REF!," мкм")</f>
        <v>#REF!</v>
      </c>
      <c r="J110" s="59" t="e">
        <f>CONCATENATE("фольга ",Лист1!#REF!," мкм")</f>
        <v>#REF!</v>
      </c>
      <c r="K110" s="59" t="e">
        <f>CONCATENATE("фольга ",Лист1!#REF!," мкм")</f>
        <v>#REF!</v>
      </c>
      <c r="L110" s="59" t="e">
        <f>CONCATENATE("фольга ",Лист1!#REF!," мкм")</f>
        <v>#REF!</v>
      </c>
      <c r="M110" s="59" t="e">
        <f>CONCATENATE("фольга ",Лист1!#REF!," мкм")</f>
        <v>#REF!</v>
      </c>
      <c r="N110" s="59" t="e">
        <f>CONCATENATE("фольга ",Лист1!#REF!," мкм")</f>
        <v>#REF!</v>
      </c>
      <c r="O110" s="59" t="e">
        <f>CONCATENATE("фольга ",Лист1!#REF!," мкм")</f>
        <v>#REF!</v>
      </c>
      <c r="P110" s="59" t="e">
        <f>CONCATENATE("фольга ",Лист1!#REF!," мкм")</f>
        <v>#REF!</v>
      </c>
      <c r="Q110" s="59" t="e">
        <f>CONCATENATE("фольга ",Лист1!#REF!," мкм")</f>
        <v>#REF!</v>
      </c>
      <c r="R110" s="59" t="e">
        <f>CONCATENATE("фольга ",Лист1!#REF!," мкм")</f>
        <v>#REF!</v>
      </c>
      <c r="S110" s="59" t="e">
        <f>CONCATENATE("фольга ",Лист1!#REF!," мкм")</f>
        <v>#REF!</v>
      </c>
      <c r="T110" s="59" t="e">
        <f>CONCATENATE("фольга ",Лист1!#REF!," мкм")</f>
        <v>#REF!</v>
      </c>
      <c r="U110" s="59" t="e">
        <f>CONCATENATE("фольга ",Лист1!#REF!," мкм")</f>
        <v>#REF!</v>
      </c>
      <c r="V110" s="59" t="e">
        <f>CONCATENATE("фольга ",Лист1!#REF!," мкм")</f>
        <v>#REF!</v>
      </c>
      <c r="W110" s="59" t="e">
        <f>CONCATENATE("фольга ",Лист1!#REF!," мкм")</f>
        <v>#REF!</v>
      </c>
      <c r="X110" s="59" t="e">
        <f>CONCATENATE("фольга ",Лист1!#REF!," мкм")</f>
        <v>#REF!</v>
      </c>
      <c r="Y110" s="59" t="e">
        <f>CONCATENATE("фольга ",Лист1!#REF!," мкм")</f>
        <v>#REF!</v>
      </c>
      <c r="Z110" s="59" t="e">
        <f>CONCATENATE("фольга ",Лист1!#REF!," мкм")</f>
        <v>#REF!</v>
      </c>
      <c r="AA110" s="59" t="e">
        <f>CONCATENATE("фольга ",Лист1!#REF!," мкм")</f>
        <v>#REF!</v>
      </c>
      <c r="AB110" s="59" t="e">
        <f>CONCATENATE("фольга ",Лист1!#REF!," мкм")</f>
        <v>#REF!</v>
      </c>
      <c r="AC110" s="59" t="e">
        <f>CONCATENATE("фольга ",Лист1!#REF!," мкм")</f>
        <v>#REF!</v>
      </c>
      <c r="AD110" s="59" t="e">
        <f>CONCATENATE("фольга ",Лист1!#REF!," мкм")</f>
        <v>#REF!</v>
      </c>
      <c r="AE110" s="59" t="e">
        <f>CONCATENATE("фольга ",Лист1!#REF!," мкм")</f>
        <v>#REF!</v>
      </c>
      <c r="AF110" s="59" t="e">
        <f>CONCATENATE("фольга ",Лист1!#REF!," мкм")</f>
        <v>#REF!</v>
      </c>
      <c r="AG110" s="59" t="e">
        <f>CONCATENATE("фольга ",Лист1!#REF!," мкм")</f>
        <v>#REF!</v>
      </c>
    </row>
    <row r="111" spans="2:33" ht="12.75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</row>
    <row r="112" spans="2:33" ht="12.75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</row>
    <row r="113" spans="2:33" ht="15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</row>
    <row r="114" spans="2:33" ht="12.75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</row>
    <row r="115" spans="2:33" ht="12.75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</row>
    <row r="116" spans="2:33" ht="15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</row>
    <row r="117" spans="2:33" ht="15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</row>
    <row r="118" spans="2:33" ht="15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</row>
    <row r="119" spans="2:33" ht="15">
      <c r="B119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C119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D119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E119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F119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G119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H119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I119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J119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K119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L119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M119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N119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O119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P119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Q119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R119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S119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T119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U119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V119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W119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X119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Y119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Z119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A119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B119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C119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D119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E119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F119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G119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</row>
    <row r="120" spans="2:33" ht="15"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</row>
    <row r="121" spans="2:33" ht="15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</row>
    <row r="122" spans="2:33" ht="15"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</row>
    <row r="123" spans="2:33" ht="12.7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</row>
    <row r="124" spans="2:33" ht="12.7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</row>
    <row r="125" spans="2:33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</row>
    <row r="126" spans="2:33" ht="12.7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</row>
    <row r="127" spans="2:33" ht="12.7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</row>
    <row r="128" spans="2:33" ht="15">
      <c r="B128" s="59" t="e">
        <f>CONCATENATE("фольга ",Лист1!#REF!," мкм")</f>
        <v>#REF!</v>
      </c>
      <c r="C128" s="59" t="e">
        <f>CONCATENATE("фольга ",Лист1!#REF!," мкм")</f>
        <v>#REF!</v>
      </c>
      <c r="D128" s="59" t="e">
        <f>CONCATENATE("фольга ",Лист1!#REF!," мкм")</f>
        <v>#REF!</v>
      </c>
      <c r="E128" s="59" t="e">
        <f>CONCATENATE("фольга ",Лист1!#REF!," мкм")</f>
        <v>#REF!</v>
      </c>
      <c r="F128" s="59" t="e">
        <f>CONCATENATE("фольга ",Лист1!#REF!," мкм")</f>
        <v>#REF!</v>
      </c>
      <c r="G128" s="59" t="e">
        <f>CONCATENATE("фольга ",Лист1!#REF!," мкм")</f>
        <v>#REF!</v>
      </c>
      <c r="H128" s="59" t="e">
        <f>CONCATENATE("фольга ",Лист1!#REF!," мкм")</f>
        <v>#REF!</v>
      </c>
      <c r="I128" s="59" t="e">
        <f>CONCATENATE("фольга ",Лист1!#REF!," мкм")</f>
        <v>#REF!</v>
      </c>
      <c r="J128" s="59" t="e">
        <f>CONCATENATE("фольга ",Лист1!#REF!," мкм")</f>
        <v>#REF!</v>
      </c>
      <c r="K128" s="59" t="e">
        <f>CONCATENATE("фольга ",Лист1!#REF!," мкм")</f>
        <v>#REF!</v>
      </c>
      <c r="L128" s="59" t="e">
        <f>CONCATENATE("фольга ",Лист1!#REF!," мкм")</f>
        <v>#REF!</v>
      </c>
      <c r="M128" s="59" t="e">
        <f>CONCATENATE("фольга ",Лист1!#REF!," мкм")</f>
        <v>#REF!</v>
      </c>
      <c r="N128" s="59" t="e">
        <f>CONCATENATE("фольга ",Лист1!#REF!," мкм")</f>
        <v>#REF!</v>
      </c>
      <c r="O128" s="59" t="e">
        <f>CONCATENATE("фольга ",Лист1!#REF!," мкм")</f>
        <v>#REF!</v>
      </c>
      <c r="P128" s="59" t="e">
        <f>CONCATENATE("фольга ",Лист1!#REF!," мкм")</f>
        <v>#REF!</v>
      </c>
      <c r="Q128" s="59" t="e">
        <f>CONCATENATE("фольга ",Лист1!#REF!," мкм")</f>
        <v>#REF!</v>
      </c>
      <c r="R128" s="59" t="e">
        <f>CONCATENATE("фольга ",Лист1!#REF!," мкм")</f>
        <v>#REF!</v>
      </c>
      <c r="S128" s="59" t="e">
        <f>CONCATENATE("фольга ",Лист1!#REF!," мкм")</f>
        <v>#REF!</v>
      </c>
      <c r="T128" s="59" t="e">
        <f>CONCATENATE("фольга ",Лист1!#REF!," мкм")</f>
        <v>#REF!</v>
      </c>
      <c r="U128" s="59" t="e">
        <f>CONCATENATE("фольга ",Лист1!#REF!," мкм")</f>
        <v>#REF!</v>
      </c>
      <c r="V128" s="59" t="e">
        <f>CONCATENATE("фольга ",Лист1!#REF!," мкм")</f>
        <v>#REF!</v>
      </c>
      <c r="W128" s="59" t="e">
        <f>CONCATENATE("фольга ",Лист1!#REF!," мкм")</f>
        <v>#REF!</v>
      </c>
      <c r="X128" s="59" t="e">
        <f>CONCATENATE("фольга ",Лист1!#REF!," мкм")</f>
        <v>#REF!</v>
      </c>
      <c r="Y128" s="59" t="e">
        <f>CONCATENATE("фольга ",Лист1!#REF!," мкм")</f>
        <v>#REF!</v>
      </c>
      <c r="Z128" s="59" t="e">
        <f>CONCATENATE("фольга ",Лист1!#REF!," мкм")</f>
        <v>#REF!</v>
      </c>
      <c r="AA128" s="59" t="e">
        <f>CONCATENATE("фольга ",Лист1!#REF!," мкм")</f>
        <v>#REF!</v>
      </c>
      <c r="AB128" s="59" t="e">
        <f>CONCATENATE("фольга ",Лист1!#REF!," мкм")</f>
        <v>#REF!</v>
      </c>
      <c r="AC128" s="59" t="e">
        <f>CONCATENATE("фольга ",Лист1!#REF!," мкм")</f>
        <v>#REF!</v>
      </c>
      <c r="AD128" s="59" t="e">
        <f>CONCATENATE("фольга ",Лист1!#REF!," мкм")</f>
        <v>#REF!</v>
      </c>
      <c r="AE128" s="59" t="e">
        <f>CONCATENATE("фольга ",Лист1!#REF!," мкм")</f>
        <v>#REF!</v>
      </c>
      <c r="AF128" s="59" t="e">
        <f>CONCATENATE("фольга ",Лист1!#REF!," мкм")</f>
        <v>#REF!</v>
      </c>
      <c r="AG128" s="59" t="e">
        <f>CONCATENATE("фольга ",Лист1!#REF!," мкм")</f>
        <v>#REF!</v>
      </c>
    </row>
    <row r="129" spans="2:33" ht="12.75">
      <c r="B129" s="47"/>
      <c r="C129" s="47"/>
      <c r="D129" s="47"/>
      <c r="E129" s="47"/>
      <c r="F129" s="47"/>
      <c r="G129" s="47"/>
      <c r="H129" s="47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9"/>
      <c r="AF129" s="47"/>
      <c r="AG129" s="47"/>
    </row>
    <row r="130" spans="2:33" ht="12.75">
      <c r="B130" s="1"/>
      <c r="C130" s="1"/>
      <c r="D130" s="1"/>
      <c r="E130" s="1"/>
      <c r="F130" s="1"/>
      <c r="G130" s="1"/>
      <c r="H130" s="1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46"/>
      <c r="AF130" s="1"/>
      <c r="AG130" s="1"/>
    </row>
    <row r="133" spans="2:33" ht="12.75">
      <c r="B133" s="56"/>
      <c r="C133" s="56"/>
      <c r="D133" s="56"/>
      <c r="E133" s="56"/>
      <c r="F133" s="56"/>
      <c r="G133" s="56"/>
      <c r="H133" s="56"/>
      <c r="I133" s="57">
        <v>0.5</v>
      </c>
      <c r="J133" s="57"/>
      <c r="K133" s="57"/>
      <c r="L133" s="57"/>
      <c r="M133" s="57"/>
      <c r="N133" s="57"/>
      <c r="O133" s="57"/>
      <c r="P133" s="57"/>
      <c r="Q133" s="57">
        <v>0.8</v>
      </c>
      <c r="R133" s="57"/>
      <c r="S133" s="57">
        <v>1</v>
      </c>
      <c r="T133" s="57"/>
      <c r="U133" s="57"/>
      <c r="V133" s="58"/>
      <c r="W133" s="58"/>
      <c r="X133" s="57">
        <v>1.5</v>
      </c>
      <c r="Y133" s="57"/>
      <c r="Z133" s="57"/>
      <c r="AA133" s="57"/>
      <c r="AB133" s="58"/>
      <c r="AC133" s="58"/>
      <c r="AD133" s="57">
        <v>2</v>
      </c>
      <c r="AE133" s="38"/>
      <c r="AF133" s="56"/>
      <c r="AG133" s="56"/>
    </row>
    <row r="134" spans="2:33" ht="12.75">
      <c r="B134" s="1"/>
      <c r="C134" s="1"/>
      <c r="D134" s="1"/>
      <c r="E134" s="1"/>
      <c r="F134" s="1"/>
      <c r="G134" s="1"/>
      <c r="H134" s="1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6"/>
      <c r="AF134" s="1"/>
      <c r="AG134" s="1"/>
    </row>
    <row r="135" spans="2:33" ht="12.75">
      <c r="B135" s="47"/>
      <c r="C135" s="47"/>
      <c r="D135" s="47"/>
      <c r="E135" s="47"/>
      <c r="F135" s="47"/>
      <c r="G135" s="47"/>
      <c r="H135" s="47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9"/>
      <c r="AF135" s="47"/>
      <c r="AG135" s="47"/>
    </row>
    <row r="136" spans="2:33" ht="15">
      <c r="B136" s="59" t="s">
        <v>90</v>
      </c>
      <c r="C136" s="59" t="s">
        <v>90</v>
      </c>
      <c r="D136" s="59" t="s">
        <v>90</v>
      </c>
      <c r="E136" s="59" t="s">
        <v>90</v>
      </c>
      <c r="F136" s="59" t="s">
        <v>90</v>
      </c>
      <c r="G136" s="59" t="s">
        <v>90</v>
      </c>
      <c r="H136" s="59" t="s">
        <v>90</v>
      </c>
      <c r="I136" s="59" t="s">
        <v>90</v>
      </c>
      <c r="J136" s="59" t="s">
        <v>90</v>
      </c>
      <c r="K136" s="59" t="s">
        <v>90</v>
      </c>
      <c r="L136" s="59" t="s">
        <v>90</v>
      </c>
      <c r="M136" s="59" t="s">
        <v>90</v>
      </c>
      <c r="N136" s="59" t="s">
        <v>90</v>
      </c>
      <c r="O136" s="59" t="s">
        <v>90</v>
      </c>
      <c r="P136" s="59" t="s">
        <v>90</v>
      </c>
      <c r="Q136" s="59" t="s">
        <v>90</v>
      </c>
      <c r="R136" s="59" t="s">
        <v>90</v>
      </c>
      <c r="S136" s="59" t="s">
        <v>90</v>
      </c>
      <c r="T136" s="59" t="s">
        <v>90</v>
      </c>
      <c r="U136" s="59" t="s">
        <v>90</v>
      </c>
      <c r="V136" s="59" t="s">
        <v>90</v>
      </c>
      <c r="W136" s="59" t="s">
        <v>90</v>
      </c>
      <c r="X136" s="59" t="s">
        <v>90</v>
      </c>
      <c r="Y136" s="59" t="s">
        <v>90</v>
      </c>
      <c r="Z136" s="59" t="s">
        <v>90</v>
      </c>
      <c r="AA136" s="59" t="s">
        <v>90</v>
      </c>
      <c r="AB136" s="59" t="s">
        <v>90</v>
      </c>
      <c r="AC136" s="59" t="s">
        <v>90</v>
      </c>
      <c r="AD136" s="59" t="s">
        <v>90</v>
      </c>
      <c r="AE136" s="59" t="s">
        <v>90</v>
      </c>
      <c r="AF136" s="59" t="s">
        <v>90</v>
      </c>
      <c r="AG136" s="59" t="s">
        <v>90</v>
      </c>
    </row>
    <row r="137" spans="2:33" ht="12.7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</row>
    <row r="138" spans="2:33" ht="12.7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</row>
    <row r="139" spans="2:33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</row>
    <row r="140" spans="2:33" ht="12.7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</row>
    <row r="141" spans="2:33" ht="12.7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</row>
    <row r="142" spans="2:33" ht="1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</row>
    <row r="143" spans="2:33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</row>
    <row r="144" spans="2:33" ht="15"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</row>
    <row r="145" spans="2:33" ht="15">
      <c r="B14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C14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D14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E14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F14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G14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H14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I14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J14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K14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L14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M14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N14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O14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P14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Q14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R14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S14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T14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U14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V14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W14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X14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Y14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Z14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A14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B14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C14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D14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E14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F14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  <c r="AG145" s="54" t="e">
        <f>IF(_all3="Стеклотекстолит заказчика ВЧ",CONCATENATE("(МЗ ВЧ)  ",Лист1!#REF!,"  мм"),IF(_all3="Стеклотекстолит заказчика",CONCATENATE("(МЗ СТ)  ",Лист1!#REF!,"  мм"),CONCATENATE(_all3," ",Лист1!#REF!,"  мм")))</f>
        <v>#REF!</v>
      </c>
    </row>
    <row r="146" spans="2:33" ht="15"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</row>
    <row r="147" spans="2:33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</row>
    <row r="148" spans="2:33" ht="1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</row>
    <row r="149" spans="2:33" ht="12.7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</row>
    <row r="150" spans="2:33" ht="12.7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</row>
    <row r="151" spans="2:33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</row>
    <row r="152" spans="2:33" ht="12.7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</row>
    <row r="153" spans="2:33" ht="12.7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</row>
    <row r="154" spans="2:33" ht="15">
      <c r="B154" s="59" t="s">
        <v>90</v>
      </c>
      <c r="C154" s="59" t="s">
        <v>90</v>
      </c>
      <c r="D154" s="59" t="s">
        <v>90</v>
      </c>
      <c r="E154" s="59" t="s">
        <v>90</v>
      </c>
      <c r="F154" s="59" t="s">
        <v>90</v>
      </c>
      <c r="G154" s="59" t="s">
        <v>90</v>
      </c>
      <c r="H154" s="59" t="s">
        <v>90</v>
      </c>
      <c r="I154" s="59" t="s">
        <v>90</v>
      </c>
      <c r="J154" s="59" t="s">
        <v>90</v>
      </c>
      <c r="K154" s="59" t="s">
        <v>90</v>
      </c>
      <c r="L154" s="59" t="s">
        <v>90</v>
      </c>
      <c r="M154" s="59" t="s">
        <v>90</v>
      </c>
      <c r="N154" s="59" t="s">
        <v>90</v>
      </c>
      <c r="O154" s="59" t="s">
        <v>90</v>
      </c>
      <c r="P154" s="59" t="s">
        <v>90</v>
      </c>
      <c r="Q154" s="59" t="s">
        <v>90</v>
      </c>
      <c r="R154" s="59" t="s">
        <v>90</v>
      </c>
      <c r="S154" s="59" t="s">
        <v>90</v>
      </c>
      <c r="T154" s="59" t="s">
        <v>90</v>
      </c>
      <c r="U154" s="59" t="s">
        <v>90</v>
      </c>
      <c r="V154" s="59" t="s">
        <v>90</v>
      </c>
      <c r="W154" s="59" t="s">
        <v>90</v>
      </c>
      <c r="X154" s="59" t="s">
        <v>90</v>
      </c>
      <c r="Y154" s="59" t="s">
        <v>90</v>
      </c>
      <c r="Z154" s="59" t="s">
        <v>90</v>
      </c>
      <c r="AA154" s="59" t="s">
        <v>90</v>
      </c>
      <c r="AB154" s="59" t="s">
        <v>90</v>
      </c>
      <c r="AC154" s="59" t="s">
        <v>90</v>
      </c>
      <c r="AD154" s="59" t="s">
        <v>90</v>
      </c>
      <c r="AE154" s="59" t="s">
        <v>90</v>
      </c>
      <c r="AF154" s="59" t="s">
        <v>90</v>
      </c>
      <c r="AG154" s="59" t="s">
        <v>90</v>
      </c>
    </row>
    <row r="155" spans="2:33" ht="12.75">
      <c r="B155" s="47"/>
      <c r="C155" s="47"/>
      <c r="D155" s="47"/>
      <c r="E155" s="47"/>
      <c r="F155" s="47"/>
      <c r="G155" s="47"/>
      <c r="H155" s="47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9"/>
      <c r="AF155" s="47"/>
      <c r="AG155" s="47"/>
    </row>
    <row r="156" spans="2:33" ht="12.75">
      <c r="B156" s="1"/>
      <c r="C156" s="1"/>
      <c r="D156" s="1"/>
      <c r="E156" s="1"/>
      <c r="F156" s="1"/>
      <c r="G156" s="1"/>
      <c r="H156" s="1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46"/>
      <c r="AF156" s="1"/>
      <c r="AG156" s="1"/>
    </row>
    <row r="157" spans="28:29" ht="12.75">
      <c r="AB157" s="16"/>
      <c r="AC157" s="16"/>
    </row>
    <row r="159" spans="1:33" ht="12.75">
      <c r="A159">
        <v>4</v>
      </c>
      <c r="Q159" s="39">
        <v>0.8</v>
      </c>
      <c r="R159" s="39"/>
      <c r="S159" s="39">
        <v>1</v>
      </c>
      <c r="T159" s="43"/>
      <c r="U159" s="43"/>
      <c r="V159" s="37"/>
      <c r="W159" s="37"/>
      <c r="X159" s="39">
        <v>1.5</v>
      </c>
      <c r="Y159" s="39"/>
      <c r="Z159" s="39"/>
      <c r="AA159" s="39"/>
      <c r="AB159" s="39">
        <v>1.6</v>
      </c>
      <c r="AC159" s="37"/>
      <c r="AD159" s="39">
        <v>2</v>
      </c>
      <c r="AE159" s="38"/>
      <c r="AF159" s="43"/>
      <c r="AG159" s="43"/>
    </row>
    <row r="160" spans="17:33" ht="12.75"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6"/>
      <c r="AF160" s="1"/>
      <c r="AG160" s="1"/>
    </row>
    <row r="161" spans="17:33" ht="12.75"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9"/>
      <c r="AF161" s="47"/>
      <c r="AG161" s="47"/>
    </row>
    <row r="162" spans="17:33" ht="15">
      <c r="Q162" s="59" t="s">
        <v>91</v>
      </c>
      <c r="R162" s="59"/>
      <c r="S162" s="59" t="s">
        <v>91</v>
      </c>
      <c r="T162" s="59"/>
      <c r="U162" s="59"/>
      <c r="V162" s="59"/>
      <c r="W162" s="59"/>
      <c r="X162" s="59" t="s">
        <v>91</v>
      </c>
      <c r="Y162" s="59"/>
      <c r="Z162" s="59"/>
      <c r="AA162" s="59"/>
      <c r="AB162" s="59" t="s">
        <v>91</v>
      </c>
      <c r="AC162" s="59"/>
      <c r="AD162" s="59" t="s">
        <v>91</v>
      </c>
      <c r="AE162" s="60"/>
      <c r="AF162" s="50"/>
      <c r="AG162" s="50"/>
    </row>
    <row r="163" spans="17:33" ht="12.75"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2"/>
      <c r="AF163" s="51"/>
      <c r="AG163" s="51"/>
    </row>
    <row r="164" spans="17:33" ht="12.75"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2"/>
      <c r="AF164" s="51"/>
      <c r="AG164" s="51"/>
    </row>
    <row r="165" spans="17:33" ht="15">
      <c r="Q165" s="63" t="s">
        <v>92</v>
      </c>
      <c r="R165" s="63"/>
      <c r="S165" s="63" t="s">
        <v>93</v>
      </c>
      <c r="T165" s="52"/>
      <c r="U165" s="52"/>
      <c r="X165" s="63" t="s">
        <v>94</v>
      </c>
      <c r="Y165" s="63"/>
      <c r="Z165" s="63"/>
      <c r="AA165" s="63"/>
      <c r="AB165" s="63" t="s">
        <v>95</v>
      </c>
      <c r="AD165" s="63" t="s">
        <v>96</v>
      </c>
      <c r="AE165" s="64"/>
      <c r="AF165" s="52"/>
      <c r="AG165" s="52"/>
    </row>
    <row r="166" spans="17:33" ht="12.75"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2"/>
      <c r="AF166" s="51"/>
      <c r="AG166" s="51"/>
    </row>
    <row r="167" spans="17:33" ht="12.75"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2"/>
      <c r="AF167" s="51"/>
      <c r="AG167" s="51"/>
    </row>
    <row r="168" spans="17:33" ht="15"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6"/>
      <c r="AF168" s="53"/>
      <c r="AG168" s="53"/>
    </row>
    <row r="169" spans="17:33" ht="15"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4"/>
      <c r="AF169" s="52"/>
      <c r="AG169" s="52"/>
    </row>
    <row r="170" spans="17:33" ht="15">
      <c r="Q170" s="59" t="s">
        <v>91</v>
      </c>
      <c r="R170" s="59"/>
      <c r="S170" s="59" t="s">
        <v>91</v>
      </c>
      <c r="T170" s="59"/>
      <c r="U170" s="59"/>
      <c r="V170" s="59"/>
      <c r="W170" s="59"/>
      <c r="X170" s="59" t="s">
        <v>91</v>
      </c>
      <c r="Y170" s="59"/>
      <c r="Z170" s="59"/>
      <c r="AA170" s="59"/>
      <c r="AB170" s="59" t="s">
        <v>91</v>
      </c>
      <c r="AC170" s="59"/>
      <c r="AD170" s="59" t="s">
        <v>91</v>
      </c>
      <c r="AE170" s="60"/>
      <c r="AF170" s="50"/>
      <c r="AG170" s="50"/>
    </row>
    <row r="171" spans="17:33" ht="15">
      <c r="Q171" s="63" t="s">
        <v>97</v>
      </c>
      <c r="R171" s="63"/>
      <c r="S171" s="63" t="s">
        <v>97</v>
      </c>
      <c r="T171" s="52"/>
      <c r="U171" s="52"/>
      <c r="X171" s="63" t="s">
        <v>98</v>
      </c>
      <c r="Y171" s="63"/>
      <c r="Z171" s="63"/>
      <c r="AA171" s="63"/>
      <c r="AB171" s="63" t="s">
        <v>98</v>
      </c>
      <c r="AD171" s="63" t="s">
        <v>98</v>
      </c>
      <c r="AE171" s="64"/>
      <c r="AF171" s="52"/>
      <c r="AG171" s="52"/>
    </row>
    <row r="172" spans="17:33" ht="15">
      <c r="Q172" s="59" t="s">
        <v>91</v>
      </c>
      <c r="R172" s="59"/>
      <c r="S172" s="59" t="s">
        <v>91</v>
      </c>
      <c r="T172" s="59"/>
      <c r="U172" s="59"/>
      <c r="V172" s="59"/>
      <c r="W172" s="59"/>
      <c r="X172" s="59" t="s">
        <v>91</v>
      </c>
      <c r="Y172" s="59"/>
      <c r="Z172" s="59"/>
      <c r="AA172" s="59"/>
      <c r="AB172" s="59" t="s">
        <v>91</v>
      </c>
      <c r="AC172" s="59"/>
      <c r="AD172" s="59" t="s">
        <v>91</v>
      </c>
      <c r="AE172" s="60"/>
      <c r="AF172" s="50"/>
      <c r="AG172" s="50"/>
    </row>
    <row r="173" spans="17:33" ht="15"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4"/>
      <c r="AF173" s="52"/>
      <c r="AG173" s="52"/>
    </row>
    <row r="174" spans="17:33" ht="15"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6"/>
      <c r="AF174" s="53"/>
      <c r="AG174" s="53"/>
    </row>
    <row r="175" spans="17:33" ht="12.75"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2"/>
      <c r="AF175" s="51"/>
      <c r="AG175" s="51"/>
    </row>
    <row r="176" spans="17:33" ht="12.75"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2"/>
      <c r="AF176" s="51"/>
      <c r="AG176" s="51"/>
    </row>
    <row r="177" spans="17:33" ht="15">
      <c r="Q177" s="63" t="s">
        <v>92</v>
      </c>
      <c r="R177" s="63"/>
      <c r="S177" s="63" t="s">
        <v>93</v>
      </c>
      <c r="T177" s="52"/>
      <c r="U177" s="52"/>
      <c r="X177" s="63" t="s">
        <v>94</v>
      </c>
      <c r="Y177" s="63"/>
      <c r="Z177" s="63"/>
      <c r="AA177" s="63"/>
      <c r="AB177" s="63" t="s">
        <v>95</v>
      </c>
      <c r="AD177" s="63" t="s">
        <v>96</v>
      </c>
      <c r="AE177" s="64"/>
      <c r="AF177" s="52"/>
      <c r="AG177" s="52"/>
    </row>
    <row r="178" spans="17:33" ht="12.75"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2"/>
      <c r="AF178" s="51"/>
      <c r="AG178" s="51"/>
    </row>
    <row r="179" spans="17:33" ht="12.75"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2"/>
      <c r="AF179" s="51"/>
      <c r="AG179" s="51"/>
    </row>
    <row r="180" spans="17:33" ht="15">
      <c r="Q180" s="59" t="s">
        <v>91</v>
      </c>
      <c r="R180" s="59"/>
      <c r="S180" s="59" t="s">
        <v>91</v>
      </c>
      <c r="T180" s="59"/>
      <c r="U180" s="59"/>
      <c r="V180" s="59"/>
      <c r="W180" s="59"/>
      <c r="X180" s="59" t="s">
        <v>91</v>
      </c>
      <c r="Y180" s="59"/>
      <c r="Z180" s="59"/>
      <c r="AA180" s="59"/>
      <c r="AB180" s="59" t="s">
        <v>91</v>
      </c>
      <c r="AC180" s="59"/>
      <c r="AD180" s="59" t="s">
        <v>91</v>
      </c>
      <c r="AE180" s="60"/>
      <c r="AF180" s="50"/>
      <c r="AG180" s="50"/>
    </row>
    <row r="181" spans="17:33" ht="12.75"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9"/>
      <c r="AF181" s="47"/>
      <c r="AG181" s="47"/>
    </row>
    <row r="182" spans="17:33" ht="12.75"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46"/>
      <c r="AF182" s="1"/>
      <c r="AG182" s="1"/>
    </row>
    <row r="185" spans="19:33" ht="12.75">
      <c r="S185" s="57">
        <v>1</v>
      </c>
      <c r="T185" s="56"/>
      <c r="U185" s="56"/>
      <c r="X185" s="57">
        <v>1.5</v>
      </c>
      <c r="Y185" s="57"/>
      <c r="Z185" s="57"/>
      <c r="AA185" s="57"/>
      <c r="AB185" s="57">
        <v>1.6</v>
      </c>
      <c r="AD185" s="40">
        <v>2</v>
      </c>
      <c r="AE185" s="38"/>
      <c r="AF185" s="38"/>
      <c r="AG185" s="38"/>
    </row>
    <row r="186" spans="19:33" ht="12.75">
      <c r="S186" s="45"/>
      <c r="T186" s="1"/>
      <c r="U186" s="1"/>
      <c r="X186" s="45"/>
      <c r="Y186" s="45"/>
      <c r="Z186" s="45"/>
      <c r="AA186" s="45"/>
      <c r="AB186" s="45"/>
      <c r="AC186" s="16"/>
      <c r="AD186" s="45"/>
      <c r="AE186" s="46"/>
      <c r="AF186" s="1"/>
      <c r="AG186" s="1"/>
    </row>
    <row r="187" spans="19:33" ht="12.75">
      <c r="S187" s="48"/>
      <c r="T187" s="47"/>
      <c r="U187" s="47"/>
      <c r="X187" s="48"/>
      <c r="Y187" s="48"/>
      <c r="Z187" s="48"/>
      <c r="AA187" s="48"/>
      <c r="AB187" s="48"/>
      <c r="AC187" s="16"/>
      <c r="AD187" s="48"/>
      <c r="AE187" s="49"/>
      <c r="AF187" s="47"/>
      <c r="AG187" s="47"/>
    </row>
    <row r="188" spans="19:33" ht="15">
      <c r="S188" s="59" t="s">
        <v>90</v>
      </c>
      <c r="T188" s="50"/>
      <c r="U188" s="50"/>
      <c r="X188" s="59" t="s">
        <v>90</v>
      </c>
      <c r="Y188" s="59"/>
      <c r="Z188" s="59"/>
      <c r="AA188" s="59"/>
      <c r="AB188" s="59" t="s">
        <v>90</v>
      </c>
      <c r="AC188" s="16"/>
      <c r="AD188" s="59" t="s">
        <v>90</v>
      </c>
      <c r="AE188" s="60"/>
      <c r="AF188" s="50"/>
      <c r="AG188" s="50"/>
    </row>
    <row r="189" spans="19:33" ht="12.75">
      <c r="S189" s="61"/>
      <c r="T189" s="51"/>
      <c r="U189" s="51"/>
      <c r="X189" s="61"/>
      <c r="Y189" s="61"/>
      <c r="Z189" s="61"/>
      <c r="AA189" s="61"/>
      <c r="AB189" s="61"/>
      <c r="AC189" s="16"/>
      <c r="AD189" s="61"/>
      <c r="AE189" s="62"/>
      <c r="AF189" s="51"/>
      <c r="AG189" s="51"/>
    </row>
    <row r="190" spans="19:33" ht="12.75">
      <c r="S190" s="61"/>
      <c r="T190" s="51"/>
      <c r="U190" s="51"/>
      <c r="X190" s="61"/>
      <c r="Y190" s="61"/>
      <c r="Z190" s="61"/>
      <c r="AA190" s="61"/>
      <c r="AB190" s="61"/>
      <c r="AC190" s="16"/>
      <c r="AD190" s="61"/>
      <c r="AE190" s="62"/>
      <c r="AF190" s="51"/>
      <c r="AG190" s="51"/>
    </row>
    <row r="191" spans="19:33" ht="15">
      <c r="S191" s="63" t="s">
        <v>92</v>
      </c>
      <c r="T191" s="52"/>
      <c r="U191" s="52"/>
      <c r="X191" s="63" t="s">
        <v>94</v>
      </c>
      <c r="Y191" s="63"/>
      <c r="Z191" s="63"/>
      <c r="AA191" s="63"/>
      <c r="AB191" s="63" t="s">
        <v>95</v>
      </c>
      <c r="AC191" s="16"/>
      <c r="AD191" s="63" t="s">
        <v>96</v>
      </c>
      <c r="AE191" s="64"/>
      <c r="AF191" s="52"/>
      <c r="AG191" s="52"/>
    </row>
    <row r="192" spans="19:33" ht="12.75">
      <c r="S192" s="61"/>
      <c r="T192" s="51"/>
      <c r="U192" s="51"/>
      <c r="X192" s="61"/>
      <c r="Y192" s="61"/>
      <c r="Z192" s="61"/>
      <c r="AA192" s="61"/>
      <c r="AB192" s="61"/>
      <c r="AC192" s="16"/>
      <c r="AD192" s="61"/>
      <c r="AE192" s="62"/>
      <c r="AF192" s="51"/>
      <c r="AG192" s="51"/>
    </row>
    <row r="193" spans="19:33" ht="12.75">
      <c r="S193" s="61"/>
      <c r="T193" s="51"/>
      <c r="U193" s="51"/>
      <c r="X193" s="61"/>
      <c r="Y193" s="61"/>
      <c r="Z193" s="61"/>
      <c r="AA193" s="61"/>
      <c r="AB193" s="61"/>
      <c r="AC193" s="16"/>
      <c r="AD193" s="61"/>
      <c r="AE193" s="62"/>
      <c r="AF193" s="51"/>
      <c r="AG193" s="51"/>
    </row>
    <row r="194" spans="19:33" ht="15">
      <c r="S194" s="65"/>
      <c r="T194" s="53"/>
      <c r="U194" s="53"/>
      <c r="X194" s="65"/>
      <c r="Y194" s="65"/>
      <c r="Z194" s="65"/>
      <c r="AA194" s="65"/>
      <c r="AB194" s="65"/>
      <c r="AC194" s="16"/>
      <c r="AD194" s="65"/>
      <c r="AE194" s="66"/>
      <c r="AF194" s="53"/>
      <c r="AG194" s="53"/>
    </row>
    <row r="195" spans="19:33" ht="15">
      <c r="S195" s="63"/>
      <c r="T195" s="52"/>
      <c r="U195" s="52"/>
      <c r="X195" s="63"/>
      <c r="Y195" s="63"/>
      <c r="Z195" s="63"/>
      <c r="AA195" s="63"/>
      <c r="AB195" s="63"/>
      <c r="AC195" s="16"/>
      <c r="AD195" s="63"/>
      <c r="AE195" s="64"/>
      <c r="AF195" s="52"/>
      <c r="AG195" s="52"/>
    </row>
    <row r="196" spans="19:33" ht="15">
      <c r="S196" s="59" t="s">
        <v>90</v>
      </c>
      <c r="T196" s="50"/>
      <c r="U196" s="50"/>
      <c r="X196" s="59" t="s">
        <v>90</v>
      </c>
      <c r="Y196" s="59"/>
      <c r="Z196" s="59"/>
      <c r="AA196" s="59"/>
      <c r="AB196" s="59" t="s">
        <v>90</v>
      </c>
      <c r="AC196" s="16"/>
      <c r="AD196" s="59" t="s">
        <v>90</v>
      </c>
      <c r="AE196" s="60"/>
      <c r="AF196" s="50"/>
      <c r="AG196" s="50"/>
    </row>
    <row r="197" spans="19:33" ht="15">
      <c r="S197" s="63" t="s">
        <v>97</v>
      </c>
      <c r="T197" s="52"/>
      <c r="U197" s="52"/>
      <c r="X197" s="63" t="s">
        <v>98</v>
      </c>
      <c r="Y197" s="63"/>
      <c r="Z197" s="63"/>
      <c r="AA197" s="63"/>
      <c r="AB197" s="63" t="s">
        <v>98</v>
      </c>
      <c r="AC197" s="16"/>
      <c r="AD197" s="63" t="s">
        <v>98</v>
      </c>
      <c r="AE197" s="64"/>
      <c r="AF197" s="52"/>
      <c r="AG197" s="52"/>
    </row>
    <row r="198" spans="19:33" ht="15">
      <c r="S198" s="59" t="s">
        <v>90</v>
      </c>
      <c r="T198" s="50"/>
      <c r="U198" s="50"/>
      <c r="X198" s="59" t="s">
        <v>90</v>
      </c>
      <c r="Y198" s="59"/>
      <c r="Z198" s="59"/>
      <c r="AA198" s="59"/>
      <c r="AB198" s="59" t="s">
        <v>90</v>
      </c>
      <c r="AC198" s="16"/>
      <c r="AD198" s="59" t="s">
        <v>90</v>
      </c>
      <c r="AE198" s="60"/>
      <c r="AF198" s="50"/>
      <c r="AG198" s="50"/>
    </row>
    <row r="199" spans="19:33" ht="15">
      <c r="S199" s="63"/>
      <c r="T199" s="52"/>
      <c r="U199" s="52"/>
      <c r="X199" s="63"/>
      <c r="Y199" s="63"/>
      <c r="Z199" s="63"/>
      <c r="AA199" s="63"/>
      <c r="AB199" s="63"/>
      <c r="AC199" s="16"/>
      <c r="AD199" s="63"/>
      <c r="AE199" s="64"/>
      <c r="AF199" s="52"/>
      <c r="AG199" s="52"/>
    </row>
    <row r="200" spans="19:33" ht="15">
      <c r="S200" s="65"/>
      <c r="T200" s="53"/>
      <c r="U200" s="53"/>
      <c r="X200" s="65"/>
      <c r="Y200" s="65"/>
      <c r="Z200" s="65"/>
      <c r="AA200" s="65"/>
      <c r="AB200" s="65"/>
      <c r="AC200" s="16"/>
      <c r="AD200" s="65"/>
      <c r="AE200" s="66"/>
      <c r="AF200" s="53"/>
      <c r="AG200" s="53"/>
    </row>
    <row r="201" spans="19:33" ht="12.75">
      <c r="S201" s="61"/>
      <c r="T201" s="51"/>
      <c r="U201" s="51"/>
      <c r="X201" s="61"/>
      <c r="Y201" s="61"/>
      <c r="Z201" s="61"/>
      <c r="AA201" s="61"/>
      <c r="AB201" s="61"/>
      <c r="AC201" s="16"/>
      <c r="AD201" s="61"/>
      <c r="AE201" s="62"/>
      <c r="AF201" s="51"/>
      <c r="AG201" s="51"/>
    </row>
    <row r="202" spans="19:33" ht="12.75">
      <c r="S202" s="61"/>
      <c r="T202" s="51"/>
      <c r="U202" s="51"/>
      <c r="X202" s="61"/>
      <c r="Y202" s="61"/>
      <c r="Z202" s="61"/>
      <c r="AA202" s="61"/>
      <c r="AB202" s="61"/>
      <c r="AC202" s="16"/>
      <c r="AD202" s="61"/>
      <c r="AE202" s="62"/>
      <c r="AF202" s="51"/>
      <c r="AG202" s="51"/>
    </row>
    <row r="203" spans="19:33" ht="15">
      <c r="S203" s="63" t="s">
        <v>92</v>
      </c>
      <c r="T203" s="52"/>
      <c r="U203" s="52"/>
      <c r="X203" s="63" t="s">
        <v>94</v>
      </c>
      <c r="Y203" s="63"/>
      <c r="Z203" s="63"/>
      <c r="AA203" s="63"/>
      <c r="AB203" s="63" t="s">
        <v>95</v>
      </c>
      <c r="AC203" s="16"/>
      <c r="AD203" s="63" t="s">
        <v>96</v>
      </c>
      <c r="AE203" s="64"/>
      <c r="AF203" s="52"/>
      <c r="AG203" s="52"/>
    </row>
    <row r="204" spans="19:33" ht="12.75">
      <c r="S204" s="61"/>
      <c r="T204" s="51"/>
      <c r="U204" s="51"/>
      <c r="X204" s="61"/>
      <c r="Y204" s="61"/>
      <c r="Z204" s="61"/>
      <c r="AA204" s="61"/>
      <c r="AB204" s="61"/>
      <c r="AC204" s="16"/>
      <c r="AD204" s="61"/>
      <c r="AE204" s="62"/>
      <c r="AF204" s="51"/>
      <c r="AG204" s="51"/>
    </row>
    <row r="205" spans="19:33" ht="12.75">
      <c r="S205" s="61"/>
      <c r="T205" s="51"/>
      <c r="U205" s="51"/>
      <c r="X205" s="61"/>
      <c r="Y205" s="61"/>
      <c r="Z205" s="61"/>
      <c r="AA205" s="61"/>
      <c r="AB205" s="61"/>
      <c r="AC205" s="16"/>
      <c r="AD205" s="61"/>
      <c r="AE205" s="62"/>
      <c r="AF205" s="51"/>
      <c r="AG205" s="51"/>
    </row>
    <row r="206" spans="19:33" ht="15">
      <c r="S206" s="59" t="s">
        <v>90</v>
      </c>
      <c r="T206" s="50"/>
      <c r="U206" s="50"/>
      <c r="X206" s="59" t="s">
        <v>90</v>
      </c>
      <c r="Y206" s="59"/>
      <c r="Z206" s="59"/>
      <c r="AA206" s="59"/>
      <c r="AB206" s="59" t="s">
        <v>90</v>
      </c>
      <c r="AC206" s="16"/>
      <c r="AD206" s="59" t="s">
        <v>90</v>
      </c>
      <c r="AE206" s="60"/>
      <c r="AF206" s="50"/>
      <c r="AG206" s="50"/>
    </row>
    <row r="207" spans="19:33" ht="12.75">
      <c r="S207" s="48"/>
      <c r="T207" s="47"/>
      <c r="U207" s="47"/>
      <c r="X207" s="48"/>
      <c r="Y207" s="48"/>
      <c r="Z207" s="48"/>
      <c r="AA207" s="48"/>
      <c r="AB207" s="48"/>
      <c r="AC207" s="16"/>
      <c r="AD207" s="48"/>
      <c r="AE207" s="49"/>
      <c r="AF207" s="47"/>
      <c r="AG207" s="47"/>
    </row>
    <row r="208" spans="19:33" ht="12.75">
      <c r="S208" s="55"/>
      <c r="T208" s="1"/>
      <c r="U208" s="1"/>
      <c r="X208" s="55"/>
      <c r="Y208" s="55"/>
      <c r="Z208" s="55"/>
      <c r="AA208" s="55"/>
      <c r="AB208" s="55"/>
      <c r="AC208" s="16"/>
      <c r="AD208" s="55"/>
      <c r="AE208" s="46"/>
      <c r="AF208" s="1"/>
      <c r="AG208" s="1"/>
    </row>
    <row r="211" spans="1:33" ht="12.75">
      <c r="A211">
        <v>6</v>
      </c>
      <c r="Q211" s="37"/>
      <c r="R211" s="37"/>
      <c r="S211" s="37"/>
      <c r="T211" s="37"/>
      <c r="U211" s="37"/>
      <c r="V211" s="39">
        <v>1.2</v>
      </c>
      <c r="W211" s="39"/>
      <c r="X211" s="39">
        <v>1.5</v>
      </c>
      <c r="Y211" s="39"/>
      <c r="Z211" s="39"/>
      <c r="AA211" s="39"/>
      <c r="AB211" s="39">
        <v>1.6</v>
      </c>
      <c r="AC211" s="39">
        <v>1.8</v>
      </c>
      <c r="AD211" s="39">
        <v>2</v>
      </c>
      <c r="AE211" s="38"/>
      <c r="AF211" s="43"/>
      <c r="AG211" s="43"/>
    </row>
    <row r="212" spans="22:33" ht="12.75">
      <c r="V212" s="45"/>
      <c r="W212" s="45"/>
      <c r="X212" s="45"/>
      <c r="Y212" s="45"/>
      <c r="Z212" s="45"/>
      <c r="AA212" s="45"/>
      <c r="AB212" s="45"/>
      <c r="AC212" s="45"/>
      <c r="AD212" s="45"/>
      <c r="AE212" s="46"/>
      <c r="AF212" s="1"/>
      <c r="AG212" s="1"/>
    </row>
    <row r="213" spans="22:33" ht="12.75">
      <c r="V213" s="48"/>
      <c r="W213" s="48"/>
      <c r="X213" s="48"/>
      <c r="Y213" s="48"/>
      <c r="Z213" s="48"/>
      <c r="AA213" s="48"/>
      <c r="AB213" s="48"/>
      <c r="AC213" s="48"/>
      <c r="AD213" s="48"/>
      <c r="AE213" s="49"/>
      <c r="AF213" s="47"/>
      <c r="AG213" s="47"/>
    </row>
    <row r="214" spans="22:33" ht="15">
      <c r="V214" s="59" t="s">
        <v>91</v>
      </c>
      <c r="W214" s="59"/>
      <c r="X214" s="59" t="s">
        <v>91</v>
      </c>
      <c r="Y214" s="59"/>
      <c r="Z214" s="59"/>
      <c r="AA214" s="59"/>
      <c r="AB214" s="59" t="s">
        <v>91</v>
      </c>
      <c r="AC214" s="59" t="s">
        <v>91</v>
      </c>
      <c r="AD214" s="59" t="s">
        <v>91</v>
      </c>
      <c r="AE214" s="60"/>
      <c r="AF214" s="50"/>
      <c r="AG214" s="50"/>
    </row>
    <row r="215" spans="22:33" ht="12.75">
      <c r="V215" s="61"/>
      <c r="W215" s="61"/>
      <c r="X215" s="61"/>
      <c r="Y215" s="61"/>
      <c r="Z215" s="61"/>
      <c r="AA215" s="61"/>
      <c r="AB215" s="61"/>
      <c r="AC215" s="61"/>
      <c r="AD215" s="61"/>
      <c r="AE215" s="62"/>
      <c r="AF215" s="51"/>
      <c r="AG215" s="51"/>
    </row>
    <row r="216" spans="22:33" ht="12.75">
      <c r="V216" s="61"/>
      <c r="W216" s="61"/>
      <c r="X216" s="61"/>
      <c r="Y216" s="61"/>
      <c r="Z216" s="61"/>
      <c r="AA216" s="61"/>
      <c r="AB216" s="61"/>
      <c r="AC216" s="61"/>
      <c r="AD216" s="61"/>
      <c r="AE216" s="62"/>
      <c r="AF216" s="51"/>
      <c r="AG216" s="51"/>
    </row>
    <row r="217" spans="22:33" ht="15">
      <c r="V217" s="63" t="s">
        <v>92</v>
      </c>
      <c r="W217" s="63"/>
      <c r="X217" s="63" t="s">
        <v>92</v>
      </c>
      <c r="Y217" s="63"/>
      <c r="Z217" s="63"/>
      <c r="AA217" s="63"/>
      <c r="AB217" s="63" t="s">
        <v>93</v>
      </c>
      <c r="AC217" s="63" t="s">
        <v>99</v>
      </c>
      <c r="AD217" s="63" t="s">
        <v>100</v>
      </c>
      <c r="AE217" s="64"/>
      <c r="AF217" s="52"/>
      <c r="AG217" s="52"/>
    </row>
    <row r="218" spans="22:33" ht="12.75">
      <c r="V218" s="61"/>
      <c r="W218" s="61"/>
      <c r="X218" s="61"/>
      <c r="Y218" s="61"/>
      <c r="Z218" s="61"/>
      <c r="AA218" s="61"/>
      <c r="AB218" s="61"/>
      <c r="AC218" s="61"/>
      <c r="AD218" s="61"/>
      <c r="AE218" s="62"/>
      <c r="AF218" s="51"/>
      <c r="AG218" s="51"/>
    </row>
    <row r="219" spans="22:33" ht="12.75">
      <c r="V219" s="61"/>
      <c r="W219" s="61"/>
      <c r="X219" s="61"/>
      <c r="Y219" s="61"/>
      <c r="Z219" s="61"/>
      <c r="AA219" s="61"/>
      <c r="AB219" s="61"/>
      <c r="AC219" s="61"/>
      <c r="AD219" s="61"/>
      <c r="AE219" s="62"/>
      <c r="AF219" s="51"/>
      <c r="AG219" s="51"/>
    </row>
    <row r="220" spans="22:33" ht="15">
      <c r="V220" s="59" t="s">
        <v>91</v>
      </c>
      <c r="W220" s="59"/>
      <c r="X220" s="59" t="s">
        <v>91</v>
      </c>
      <c r="Y220" s="59"/>
      <c r="Z220" s="59"/>
      <c r="AA220" s="59"/>
      <c r="AB220" s="59" t="s">
        <v>91</v>
      </c>
      <c r="AC220" s="59" t="s">
        <v>91</v>
      </c>
      <c r="AD220" s="59" t="s">
        <v>91</v>
      </c>
      <c r="AE220" s="60"/>
      <c r="AF220" s="50"/>
      <c r="AG220" s="50"/>
    </row>
    <row r="221" spans="22:33" ht="15">
      <c r="V221" s="63" t="s">
        <v>101</v>
      </c>
      <c r="W221" s="63"/>
      <c r="X221" s="63" t="s">
        <v>97</v>
      </c>
      <c r="Y221" s="63"/>
      <c r="Z221" s="63"/>
      <c r="AA221" s="63"/>
      <c r="AB221" s="63" t="s">
        <v>97</v>
      </c>
      <c r="AC221" s="63" t="s">
        <v>97</v>
      </c>
      <c r="AD221" s="63" t="s">
        <v>97</v>
      </c>
      <c r="AE221" s="64"/>
      <c r="AF221" s="52"/>
      <c r="AG221" s="52"/>
    </row>
    <row r="222" spans="22:33" ht="15">
      <c r="V222" s="59" t="s">
        <v>91</v>
      </c>
      <c r="W222" s="59"/>
      <c r="X222" s="59" t="s">
        <v>91</v>
      </c>
      <c r="Y222" s="59"/>
      <c r="Z222" s="59"/>
      <c r="AA222" s="59"/>
      <c r="AB222" s="59" t="s">
        <v>91</v>
      </c>
      <c r="AC222" s="59" t="s">
        <v>91</v>
      </c>
      <c r="AD222" s="59" t="s">
        <v>91</v>
      </c>
      <c r="AE222" s="60"/>
      <c r="AF222" s="50"/>
      <c r="AG222" s="50"/>
    </row>
    <row r="223" spans="22:33" ht="15">
      <c r="V223" s="63" t="s">
        <v>92</v>
      </c>
      <c r="W223" s="63"/>
      <c r="X223" s="63" t="s">
        <v>92</v>
      </c>
      <c r="Y223" s="63"/>
      <c r="Z223" s="63"/>
      <c r="AA223" s="63"/>
      <c r="AB223" s="63" t="s">
        <v>92</v>
      </c>
      <c r="AC223" s="63" t="s">
        <v>92</v>
      </c>
      <c r="AD223" s="63" t="s">
        <v>99</v>
      </c>
      <c r="AE223" s="64"/>
      <c r="AF223" s="52"/>
      <c r="AG223" s="52"/>
    </row>
    <row r="224" spans="22:33" ht="15">
      <c r="V224" s="59" t="s">
        <v>91</v>
      </c>
      <c r="W224" s="59"/>
      <c r="X224" s="59" t="s">
        <v>91</v>
      </c>
      <c r="Y224" s="59"/>
      <c r="Z224" s="59"/>
      <c r="AA224" s="59"/>
      <c r="AB224" s="59" t="s">
        <v>91</v>
      </c>
      <c r="AC224" s="59" t="s">
        <v>91</v>
      </c>
      <c r="AD224" s="59" t="s">
        <v>91</v>
      </c>
      <c r="AE224" s="60"/>
      <c r="AF224" s="50"/>
      <c r="AG224" s="50"/>
    </row>
    <row r="225" spans="22:33" ht="15">
      <c r="V225" s="63" t="s">
        <v>101</v>
      </c>
      <c r="W225" s="63"/>
      <c r="X225" s="63" t="s">
        <v>97</v>
      </c>
      <c r="Y225" s="63"/>
      <c r="Z225" s="63"/>
      <c r="AA225" s="63"/>
      <c r="AB225" s="63" t="s">
        <v>97</v>
      </c>
      <c r="AC225" s="63" t="s">
        <v>97</v>
      </c>
      <c r="AD225" s="63" t="s">
        <v>97</v>
      </c>
      <c r="AE225" s="64"/>
      <c r="AF225" s="52"/>
      <c r="AG225" s="52"/>
    </row>
    <row r="226" spans="22:33" ht="15">
      <c r="V226" s="59" t="s">
        <v>91</v>
      </c>
      <c r="W226" s="59"/>
      <c r="X226" s="59" t="s">
        <v>91</v>
      </c>
      <c r="Y226" s="59"/>
      <c r="Z226" s="59"/>
      <c r="AA226" s="59"/>
      <c r="AB226" s="59" t="s">
        <v>91</v>
      </c>
      <c r="AC226" s="59" t="s">
        <v>91</v>
      </c>
      <c r="AD226" s="59" t="s">
        <v>91</v>
      </c>
      <c r="AE226" s="60"/>
      <c r="AF226" s="50"/>
      <c r="AG226" s="50"/>
    </row>
    <row r="227" spans="22:33" ht="12.75">
      <c r="V227" s="61"/>
      <c r="W227" s="61"/>
      <c r="X227" s="61"/>
      <c r="Y227" s="61"/>
      <c r="Z227" s="61"/>
      <c r="AA227" s="61"/>
      <c r="AB227" s="61"/>
      <c r="AC227" s="61"/>
      <c r="AD227" s="61"/>
      <c r="AE227" s="62"/>
      <c r="AF227" s="51"/>
      <c r="AG227" s="51"/>
    </row>
    <row r="228" spans="22:33" ht="12.75">
      <c r="V228" s="61"/>
      <c r="W228" s="61"/>
      <c r="X228" s="61"/>
      <c r="Y228" s="61"/>
      <c r="Z228" s="61"/>
      <c r="AA228" s="61"/>
      <c r="AB228" s="61"/>
      <c r="AC228" s="61"/>
      <c r="AD228" s="61"/>
      <c r="AE228" s="62"/>
      <c r="AF228" s="51"/>
      <c r="AG228" s="51"/>
    </row>
    <row r="229" spans="22:33" ht="15">
      <c r="V229" s="63" t="s">
        <v>92</v>
      </c>
      <c r="W229" s="63"/>
      <c r="X229" s="63" t="s">
        <v>92</v>
      </c>
      <c r="Y229" s="63"/>
      <c r="Z229" s="63"/>
      <c r="AA229" s="63"/>
      <c r="AB229" s="63" t="s">
        <v>93</v>
      </c>
      <c r="AC229" s="63" t="s">
        <v>99</v>
      </c>
      <c r="AD229" s="63" t="s">
        <v>100</v>
      </c>
      <c r="AE229" s="64"/>
      <c r="AF229" s="52"/>
      <c r="AG229" s="52"/>
    </row>
    <row r="230" spans="22:33" ht="12.75">
      <c r="V230" s="61"/>
      <c r="W230" s="61"/>
      <c r="X230" s="61"/>
      <c r="Y230" s="61"/>
      <c r="Z230" s="61"/>
      <c r="AA230" s="61"/>
      <c r="AB230" s="61"/>
      <c r="AC230" s="61"/>
      <c r="AD230" s="61"/>
      <c r="AE230" s="62"/>
      <c r="AF230" s="51"/>
      <c r="AG230" s="51"/>
    </row>
    <row r="231" spans="22:33" ht="12.75">
      <c r="V231" s="61"/>
      <c r="W231" s="61"/>
      <c r="X231" s="61"/>
      <c r="Y231" s="61"/>
      <c r="Z231" s="61"/>
      <c r="AA231" s="61"/>
      <c r="AB231" s="61"/>
      <c r="AC231" s="61"/>
      <c r="AD231" s="61"/>
      <c r="AE231" s="62"/>
      <c r="AF231" s="51"/>
      <c r="AG231" s="51"/>
    </row>
    <row r="232" spans="22:33" ht="15">
      <c r="V232" s="59" t="s">
        <v>91</v>
      </c>
      <c r="W232" s="59"/>
      <c r="X232" s="59" t="s">
        <v>91</v>
      </c>
      <c r="Y232" s="59"/>
      <c r="Z232" s="59"/>
      <c r="AA232" s="59"/>
      <c r="AB232" s="59" t="s">
        <v>91</v>
      </c>
      <c r="AC232" s="59" t="s">
        <v>91</v>
      </c>
      <c r="AD232" s="59" t="s">
        <v>91</v>
      </c>
      <c r="AE232" s="60"/>
      <c r="AF232" s="50"/>
      <c r="AG232" s="50"/>
    </row>
    <row r="233" spans="22:33" ht="12.75">
      <c r="V233" s="48"/>
      <c r="W233" s="48"/>
      <c r="X233" s="48"/>
      <c r="Y233" s="48"/>
      <c r="Z233" s="48"/>
      <c r="AA233" s="48"/>
      <c r="AB233" s="48"/>
      <c r="AC233" s="48"/>
      <c r="AD233" s="48"/>
      <c r="AE233" s="49"/>
      <c r="AF233" s="47"/>
      <c r="AG233" s="47"/>
    </row>
    <row r="234" spans="22:33" ht="12.75">
      <c r="V234" s="55"/>
      <c r="W234" s="55"/>
      <c r="X234" s="55"/>
      <c r="Y234" s="55"/>
      <c r="Z234" s="55"/>
      <c r="AA234" s="55"/>
      <c r="AB234" s="55"/>
      <c r="AC234" s="55"/>
      <c r="AD234" s="55"/>
      <c r="AE234" s="46"/>
      <c r="AF234" s="1"/>
      <c r="AG234" s="1"/>
    </row>
    <row r="237" spans="22:33" ht="12.75">
      <c r="V237" s="57">
        <v>1.2</v>
      </c>
      <c r="W237" s="57"/>
      <c r="X237" s="57">
        <v>1.5</v>
      </c>
      <c r="Y237" s="57"/>
      <c r="Z237" s="57"/>
      <c r="AA237" s="57"/>
      <c r="AB237" s="57">
        <v>1.6</v>
      </c>
      <c r="AC237" s="57">
        <v>1.8</v>
      </c>
      <c r="AD237" s="57">
        <v>2</v>
      </c>
      <c r="AE237" s="38"/>
      <c r="AF237" s="56"/>
      <c r="AG237" s="56"/>
    </row>
    <row r="238" spans="22:33" ht="12.75">
      <c r="V238" s="45"/>
      <c r="W238" s="45"/>
      <c r="X238" s="45"/>
      <c r="Y238" s="45"/>
      <c r="Z238" s="45"/>
      <c r="AA238" s="45"/>
      <c r="AB238" s="45"/>
      <c r="AC238" s="45"/>
      <c r="AD238" s="45"/>
      <c r="AE238" s="46"/>
      <c r="AF238" s="1"/>
      <c r="AG238" s="1"/>
    </row>
    <row r="239" spans="22:33" ht="12.75">
      <c r="V239" s="48"/>
      <c r="W239" s="48"/>
      <c r="X239" s="48"/>
      <c r="Y239" s="48"/>
      <c r="Z239" s="48"/>
      <c r="AA239" s="48"/>
      <c r="AB239" s="48"/>
      <c r="AC239" s="48"/>
      <c r="AD239" s="48"/>
      <c r="AE239" s="49"/>
      <c r="AF239" s="47"/>
      <c r="AG239" s="47"/>
    </row>
    <row r="240" spans="22:33" ht="15">
      <c r="V240" s="59" t="s">
        <v>90</v>
      </c>
      <c r="W240" s="59"/>
      <c r="X240" s="59" t="s">
        <v>90</v>
      </c>
      <c r="Y240" s="59"/>
      <c r="Z240" s="59"/>
      <c r="AA240" s="59"/>
      <c r="AB240" s="59" t="s">
        <v>90</v>
      </c>
      <c r="AC240" s="59" t="s">
        <v>90</v>
      </c>
      <c r="AD240" s="59" t="s">
        <v>90</v>
      </c>
      <c r="AE240" s="60"/>
      <c r="AF240" s="50"/>
      <c r="AG240" s="50"/>
    </row>
    <row r="241" spans="22:33" ht="12.75">
      <c r="V241" s="61"/>
      <c r="W241" s="61"/>
      <c r="X241" s="61"/>
      <c r="Y241" s="61"/>
      <c r="Z241" s="61"/>
      <c r="AA241" s="61"/>
      <c r="AB241" s="61"/>
      <c r="AC241" s="61"/>
      <c r="AD241" s="61"/>
      <c r="AE241" s="62"/>
      <c r="AF241" s="51"/>
      <c r="AG241" s="51"/>
    </row>
    <row r="242" spans="22:33" ht="12.75">
      <c r="V242" s="61"/>
      <c r="W242" s="61"/>
      <c r="X242" s="61"/>
      <c r="Y242" s="61"/>
      <c r="Z242" s="61"/>
      <c r="AA242" s="61"/>
      <c r="AB242" s="61"/>
      <c r="AC242" s="61"/>
      <c r="AD242" s="61"/>
      <c r="AE242" s="62"/>
      <c r="AF242" s="51"/>
      <c r="AG242" s="51"/>
    </row>
    <row r="243" spans="22:33" ht="15">
      <c r="V243" s="63" t="s">
        <v>92</v>
      </c>
      <c r="W243" s="63"/>
      <c r="X243" s="63" t="s">
        <v>99</v>
      </c>
      <c r="Y243" s="63"/>
      <c r="Z243" s="63"/>
      <c r="AA243" s="63"/>
      <c r="AB243" s="63" t="s">
        <v>92</v>
      </c>
      <c r="AC243" s="63" t="s">
        <v>93</v>
      </c>
      <c r="AD243" s="63" t="s">
        <v>99</v>
      </c>
      <c r="AE243" s="64"/>
      <c r="AF243" s="52"/>
      <c r="AG243" s="52"/>
    </row>
    <row r="244" spans="22:33" ht="12.75">
      <c r="V244" s="61"/>
      <c r="W244" s="61"/>
      <c r="X244" s="61"/>
      <c r="Y244" s="61"/>
      <c r="Z244" s="61"/>
      <c r="AA244" s="61"/>
      <c r="AB244" s="61"/>
      <c r="AC244" s="61"/>
      <c r="AD244" s="61"/>
      <c r="AE244" s="62"/>
      <c r="AF244" s="51"/>
      <c r="AG244" s="51"/>
    </row>
    <row r="245" spans="22:33" ht="12.75">
      <c r="V245" s="61"/>
      <c r="W245" s="61"/>
      <c r="X245" s="61"/>
      <c r="Y245" s="61"/>
      <c r="Z245" s="61"/>
      <c r="AA245" s="61"/>
      <c r="AB245" s="61"/>
      <c r="AC245" s="61"/>
      <c r="AD245" s="61"/>
      <c r="AE245" s="62"/>
      <c r="AF245" s="51"/>
      <c r="AG245" s="51"/>
    </row>
    <row r="246" spans="22:33" ht="15">
      <c r="V246" s="59" t="s">
        <v>90</v>
      </c>
      <c r="W246" s="59"/>
      <c r="X246" s="59" t="s">
        <v>90</v>
      </c>
      <c r="Y246" s="59"/>
      <c r="Z246" s="59"/>
      <c r="AA246" s="59"/>
      <c r="AB246" s="59" t="s">
        <v>90</v>
      </c>
      <c r="AC246" s="59" t="s">
        <v>90</v>
      </c>
      <c r="AD246" s="59" t="s">
        <v>90</v>
      </c>
      <c r="AE246" s="60"/>
      <c r="AF246" s="50"/>
      <c r="AG246" s="50"/>
    </row>
    <row r="247" spans="22:33" ht="15">
      <c r="V247" s="63" t="s">
        <v>101</v>
      </c>
      <c r="W247" s="63"/>
      <c r="X247" s="63" t="s">
        <v>101</v>
      </c>
      <c r="Y247" s="63"/>
      <c r="Z247" s="63"/>
      <c r="AA247" s="63"/>
      <c r="AB247" s="63" t="s">
        <v>97</v>
      </c>
      <c r="AC247" s="63" t="s">
        <v>97</v>
      </c>
      <c r="AD247" s="63" t="s">
        <v>97</v>
      </c>
      <c r="AE247" s="64"/>
      <c r="AF247" s="52"/>
      <c r="AG247" s="52"/>
    </row>
    <row r="248" spans="22:33" ht="15">
      <c r="V248" s="59" t="s">
        <v>90</v>
      </c>
      <c r="W248" s="59"/>
      <c r="X248" s="59" t="s">
        <v>90</v>
      </c>
      <c r="Y248" s="59"/>
      <c r="Z248" s="59"/>
      <c r="AA248" s="59"/>
      <c r="AB248" s="59" t="s">
        <v>90</v>
      </c>
      <c r="AC248" s="59" t="s">
        <v>90</v>
      </c>
      <c r="AD248" s="59" t="s">
        <v>90</v>
      </c>
      <c r="AE248" s="60"/>
      <c r="AF248" s="50"/>
      <c r="AG248" s="50"/>
    </row>
    <row r="249" spans="22:33" ht="15">
      <c r="V249" s="63" t="s">
        <v>92</v>
      </c>
      <c r="W249" s="63"/>
      <c r="X249" s="63" t="s">
        <v>92</v>
      </c>
      <c r="Y249" s="63"/>
      <c r="Z249" s="63"/>
      <c r="AA249" s="63"/>
      <c r="AB249" s="63" t="s">
        <v>92</v>
      </c>
      <c r="AC249" s="63" t="s">
        <v>93</v>
      </c>
      <c r="AD249" s="63" t="s">
        <v>99</v>
      </c>
      <c r="AE249" s="64"/>
      <c r="AF249" s="52"/>
      <c r="AG249" s="52"/>
    </row>
    <row r="250" spans="22:33" ht="15">
      <c r="V250" s="59" t="s">
        <v>90</v>
      </c>
      <c r="W250" s="59"/>
      <c r="X250" s="59" t="s">
        <v>90</v>
      </c>
      <c r="Y250" s="59"/>
      <c r="Z250" s="59"/>
      <c r="AA250" s="59"/>
      <c r="AB250" s="59" t="s">
        <v>90</v>
      </c>
      <c r="AC250" s="59" t="s">
        <v>90</v>
      </c>
      <c r="AD250" s="59" t="s">
        <v>90</v>
      </c>
      <c r="AE250" s="60"/>
      <c r="AF250" s="50"/>
      <c r="AG250" s="50"/>
    </row>
    <row r="251" spans="22:33" ht="15">
      <c r="V251" s="63" t="s">
        <v>101</v>
      </c>
      <c r="W251" s="63"/>
      <c r="X251" s="63" t="s">
        <v>101</v>
      </c>
      <c r="Y251" s="63"/>
      <c r="Z251" s="63"/>
      <c r="AA251" s="63"/>
      <c r="AB251" s="63" t="s">
        <v>97</v>
      </c>
      <c r="AC251" s="63" t="s">
        <v>97</v>
      </c>
      <c r="AD251" s="63" t="s">
        <v>97</v>
      </c>
      <c r="AE251" s="64"/>
      <c r="AF251" s="52"/>
      <c r="AG251" s="52"/>
    </row>
    <row r="252" spans="22:33" ht="15">
      <c r="V252" s="59" t="s">
        <v>90</v>
      </c>
      <c r="W252" s="59"/>
      <c r="X252" s="59" t="s">
        <v>90</v>
      </c>
      <c r="Y252" s="59"/>
      <c r="Z252" s="59"/>
      <c r="AA252" s="59"/>
      <c r="AB252" s="59" t="s">
        <v>90</v>
      </c>
      <c r="AC252" s="59" t="s">
        <v>90</v>
      </c>
      <c r="AD252" s="59" t="s">
        <v>90</v>
      </c>
      <c r="AE252" s="60"/>
      <c r="AF252" s="50"/>
      <c r="AG252" s="50"/>
    </row>
    <row r="253" spans="22:33" ht="12.75">
      <c r="V253" s="61"/>
      <c r="W253" s="61"/>
      <c r="X253" s="61"/>
      <c r="Y253" s="61"/>
      <c r="Z253" s="61"/>
      <c r="AA253" s="61"/>
      <c r="AB253" s="61"/>
      <c r="AC253" s="61"/>
      <c r="AD253" s="61"/>
      <c r="AE253" s="62"/>
      <c r="AF253" s="51"/>
      <c r="AG253" s="51"/>
    </row>
    <row r="254" spans="22:33" ht="12.75">
      <c r="V254" s="61"/>
      <c r="W254" s="61"/>
      <c r="X254" s="61"/>
      <c r="Y254" s="61"/>
      <c r="Z254" s="61"/>
      <c r="AA254" s="61"/>
      <c r="AB254" s="61"/>
      <c r="AC254" s="61"/>
      <c r="AD254" s="61"/>
      <c r="AE254" s="62"/>
      <c r="AF254" s="51"/>
      <c r="AG254" s="51"/>
    </row>
    <row r="255" spans="22:33" ht="15">
      <c r="V255" s="63" t="s">
        <v>92</v>
      </c>
      <c r="W255" s="63"/>
      <c r="X255" s="63" t="s">
        <v>99</v>
      </c>
      <c r="Y255" s="63"/>
      <c r="Z255" s="63"/>
      <c r="AA255" s="63"/>
      <c r="AB255" s="63" t="s">
        <v>92</v>
      </c>
      <c r="AC255" s="63" t="s">
        <v>93</v>
      </c>
      <c r="AD255" s="63" t="s">
        <v>99</v>
      </c>
      <c r="AE255" s="64"/>
      <c r="AF255" s="52"/>
      <c r="AG255" s="52"/>
    </row>
    <row r="256" spans="22:33" ht="12.75">
      <c r="V256" s="61"/>
      <c r="W256" s="61"/>
      <c r="X256" s="61"/>
      <c r="Y256" s="61"/>
      <c r="Z256" s="61"/>
      <c r="AA256" s="61"/>
      <c r="AB256" s="61"/>
      <c r="AC256" s="61"/>
      <c r="AD256" s="61"/>
      <c r="AE256" s="62"/>
      <c r="AF256" s="51"/>
      <c r="AG256" s="51"/>
    </row>
    <row r="257" spans="22:33" ht="12.75">
      <c r="V257" s="61"/>
      <c r="W257" s="61"/>
      <c r="X257" s="61"/>
      <c r="Y257" s="61"/>
      <c r="Z257" s="61"/>
      <c r="AA257" s="61"/>
      <c r="AB257" s="61"/>
      <c r="AC257" s="61"/>
      <c r="AD257" s="61"/>
      <c r="AE257" s="62"/>
      <c r="AF257" s="51"/>
      <c r="AG257" s="51"/>
    </row>
    <row r="258" spans="22:33" ht="15">
      <c r="V258" s="59" t="s">
        <v>90</v>
      </c>
      <c r="W258" s="59"/>
      <c r="X258" s="59" t="s">
        <v>90</v>
      </c>
      <c r="Y258" s="59"/>
      <c r="Z258" s="59"/>
      <c r="AA258" s="59"/>
      <c r="AB258" s="59" t="s">
        <v>90</v>
      </c>
      <c r="AC258" s="59" t="s">
        <v>90</v>
      </c>
      <c r="AD258" s="59" t="s">
        <v>90</v>
      </c>
      <c r="AE258" s="60"/>
      <c r="AF258" s="50"/>
      <c r="AG258" s="50"/>
    </row>
    <row r="259" spans="22:33" ht="12.75">
      <c r="V259" s="48"/>
      <c r="W259" s="48"/>
      <c r="X259" s="48"/>
      <c r="Y259" s="48"/>
      <c r="Z259" s="48"/>
      <c r="AA259" s="48"/>
      <c r="AB259" s="48"/>
      <c r="AC259" s="48"/>
      <c r="AD259" s="48"/>
      <c r="AE259" s="49"/>
      <c r="AF259" s="47"/>
      <c r="AG259" s="47"/>
    </row>
    <row r="260" spans="22:33" ht="12.75">
      <c r="V260" s="55"/>
      <c r="W260" s="55"/>
      <c r="X260" s="55"/>
      <c r="Y260" s="55"/>
      <c r="Z260" s="55"/>
      <c r="AA260" s="55"/>
      <c r="AB260" s="55"/>
      <c r="AC260" s="55"/>
      <c r="AD260" s="55"/>
      <c r="AE260" s="46"/>
      <c r="AF260" s="1"/>
      <c r="AG260" s="1"/>
    </row>
    <row r="263" spans="1:33" ht="12.75">
      <c r="A263">
        <v>8</v>
      </c>
      <c r="X263" s="57" t="s">
        <v>102</v>
      </c>
      <c r="Y263" s="57"/>
      <c r="Z263" s="57"/>
      <c r="AA263" s="57"/>
      <c r="AB263" s="57" t="s">
        <v>103</v>
      </c>
      <c r="AC263" s="57" t="s">
        <v>104</v>
      </c>
      <c r="AD263" s="57" t="s">
        <v>105</v>
      </c>
      <c r="AE263" s="38"/>
      <c r="AF263" s="56"/>
      <c r="AG263" s="56"/>
    </row>
    <row r="264" spans="24:33" ht="12.75">
      <c r="X264" s="45"/>
      <c r="Y264" s="45"/>
      <c r="Z264" s="45"/>
      <c r="AA264" s="45"/>
      <c r="AB264" s="45"/>
      <c r="AC264" s="45"/>
      <c r="AD264" s="45"/>
      <c r="AE264" s="46"/>
      <c r="AF264" s="1"/>
      <c r="AG264" s="1"/>
    </row>
    <row r="265" spans="24:33" ht="12.75">
      <c r="X265" s="48"/>
      <c r="Y265" s="48"/>
      <c r="Z265" s="48"/>
      <c r="AA265" s="48"/>
      <c r="AB265" s="48"/>
      <c r="AC265" s="48"/>
      <c r="AD265" s="48"/>
      <c r="AE265" s="49"/>
      <c r="AF265" s="47"/>
      <c r="AG265" s="47"/>
    </row>
    <row r="266" spans="24:33" ht="15">
      <c r="X266" s="59" t="s">
        <v>91</v>
      </c>
      <c r="Y266" s="59"/>
      <c r="Z266" s="59"/>
      <c r="AA266" s="59"/>
      <c r="AB266" s="59" t="s">
        <v>91</v>
      </c>
      <c r="AC266" s="59" t="s">
        <v>91</v>
      </c>
      <c r="AD266" s="59" t="s">
        <v>91</v>
      </c>
      <c r="AE266" s="60"/>
      <c r="AF266" s="50"/>
      <c r="AG266" s="50"/>
    </row>
    <row r="267" spans="24:33" ht="12.75">
      <c r="X267" s="61"/>
      <c r="Y267" s="61"/>
      <c r="Z267" s="61"/>
      <c r="AA267" s="61"/>
      <c r="AB267" s="61"/>
      <c r="AC267" s="61"/>
      <c r="AD267" s="61"/>
      <c r="AE267" s="62"/>
      <c r="AF267" s="51"/>
      <c r="AG267" s="51"/>
    </row>
    <row r="268" spans="24:33" ht="12.75">
      <c r="X268" s="61"/>
      <c r="Y268" s="61"/>
      <c r="Z268" s="61"/>
      <c r="AA268" s="61"/>
      <c r="AB268" s="61"/>
      <c r="AC268" s="61"/>
      <c r="AD268" s="61"/>
      <c r="AE268" s="62"/>
      <c r="AF268" s="51"/>
      <c r="AG268" s="51"/>
    </row>
    <row r="269" spans="24:33" ht="15">
      <c r="X269" s="63" t="s">
        <v>92</v>
      </c>
      <c r="Y269" s="63"/>
      <c r="Z269" s="63"/>
      <c r="AA269" s="63"/>
      <c r="AB269" s="63" t="s">
        <v>92</v>
      </c>
      <c r="AC269" s="63" t="s">
        <v>93</v>
      </c>
      <c r="AD269" s="63" t="s">
        <v>99</v>
      </c>
      <c r="AE269" s="64"/>
      <c r="AF269" s="52"/>
      <c r="AG269" s="52"/>
    </row>
    <row r="270" spans="24:33" ht="15">
      <c r="X270" s="59" t="s">
        <v>91</v>
      </c>
      <c r="Y270" s="59"/>
      <c r="Z270" s="59"/>
      <c r="AA270" s="59"/>
      <c r="AB270" s="59" t="s">
        <v>91</v>
      </c>
      <c r="AC270" s="59" t="s">
        <v>91</v>
      </c>
      <c r="AD270" s="59" t="s">
        <v>91</v>
      </c>
      <c r="AE270" s="60"/>
      <c r="AF270" s="50"/>
      <c r="AG270" s="50"/>
    </row>
    <row r="271" spans="24:33" ht="15">
      <c r="X271" s="63" t="s">
        <v>106</v>
      </c>
      <c r="Y271" s="63"/>
      <c r="Z271" s="63"/>
      <c r="AA271" s="63"/>
      <c r="AB271" s="63" t="s">
        <v>101</v>
      </c>
      <c r="AC271" s="63" t="s">
        <v>101</v>
      </c>
      <c r="AD271" s="63" t="s">
        <v>101</v>
      </c>
      <c r="AE271" s="64"/>
      <c r="AF271" s="52"/>
      <c r="AG271" s="52"/>
    </row>
    <row r="272" spans="24:33" ht="15">
      <c r="X272" s="59" t="s">
        <v>91</v>
      </c>
      <c r="Y272" s="59"/>
      <c r="Z272" s="59"/>
      <c r="AA272" s="59"/>
      <c r="AB272" s="59" t="s">
        <v>91</v>
      </c>
      <c r="AC272" s="59" t="s">
        <v>91</v>
      </c>
      <c r="AD272" s="59" t="s">
        <v>91</v>
      </c>
      <c r="AE272" s="60"/>
      <c r="AF272" s="50"/>
      <c r="AG272" s="50"/>
    </row>
    <row r="273" spans="24:33" ht="15">
      <c r="X273" s="63" t="s">
        <v>92</v>
      </c>
      <c r="Y273" s="63"/>
      <c r="Z273" s="63"/>
      <c r="AA273" s="63"/>
      <c r="AB273" s="63" t="s">
        <v>92</v>
      </c>
      <c r="AC273" s="63" t="s">
        <v>93</v>
      </c>
      <c r="AD273" s="63" t="s">
        <v>99</v>
      </c>
      <c r="AE273" s="64"/>
      <c r="AF273" s="52"/>
      <c r="AG273" s="52"/>
    </row>
    <row r="274" spans="24:33" ht="15">
      <c r="X274" s="59" t="s">
        <v>91</v>
      </c>
      <c r="Y274" s="59"/>
      <c r="Z274" s="59"/>
      <c r="AA274" s="59"/>
      <c r="AB274" s="59" t="s">
        <v>91</v>
      </c>
      <c r="AC274" s="59" t="s">
        <v>91</v>
      </c>
      <c r="AD274" s="59" t="s">
        <v>91</v>
      </c>
      <c r="AE274" s="60"/>
      <c r="AF274" s="50"/>
      <c r="AG274" s="50"/>
    </row>
    <row r="275" spans="24:33" ht="15">
      <c r="X275" s="63" t="s">
        <v>106</v>
      </c>
      <c r="Y275" s="63"/>
      <c r="Z275" s="63"/>
      <c r="AA275" s="63"/>
      <c r="AB275" s="63" t="s">
        <v>101</v>
      </c>
      <c r="AC275" s="63" t="s">
        <v>101</v>
      </c>
      <c r="AD275" s="63" t="s">
        <v>101</v>
      </c>
      <c r="AE275" s="64"/>
      <c r="AF275" s="52"/>
      <c r="AG275" s="52"/>
    </row>
    <row r="276" spans="24:33" ht="15">
      <c r="X276" s="59" t="s">
        <v>91</v>
      </c>
      <c r="Y276" s="59"/>
      <c r="Z276" s="59"/>
      <c r="AA276" s="59"/>
      <c r="AB276" s="59" t="s">
        <v>91</v>
      </c>
      <c r="AC276" s="59" t="s">
        <v>91</v>
      </c>
      <c r="AD276" s="59" t="s">
        <v>91</v>
      </c>
      <c r="AE276" s="60"/>
      <c r="AF276" s="50"/>
      <c r="AG276" s="50"/>
    </row>
    <row r="277" spans="24:33" ht="15">
      <c r="X277" s="63" t="s">
        <v>92</v>
      </c>
      <c r="Y277" s="63"/>
      <c r="Z277" s="63"/>
      <c r="AA277" s="63"/>
      <c r="AB277" s="63" t="s">
        <v>92</v>
      </c>
      <c r="AC277" s="63" t="s">
        <v>93</v>
      </c>
      <c r="AD277" s="63" t="s">
        <v>99</v>
      </c>
      <c r="AE277" s="64"/>
      <c r="AF277" s="52"/>
      <c r="AG277" s="52"/>
    </row>
    <row r="278" spans="24:33" ht="15">
      <c r="X278" s="59" t="s">
        <v>91</v>
      </c>
      <c r="Y278" s="59"/>
      <c r="Z278" s="59"/>
      <c r="AA278" s="59"/>
      <c r="AB278" s="59" t="s">
        <v>91</v>
      </c>
      <c r="AC278" s="59" t="s">
        <v>91</v>
      </c>
      <c r="AD278" s="59" t="s">
        <v>91</v>
      </c>
      <c r="AE278" s="60"/>
      <c r="AF278" s="50"/>
      <c r="AG278" s="50"/>
    </row>
    <row r="279" spans="24:33" ht="15">
      <c r="X279" s="63" t="s">
        <v>106</v>
      </c>
      <c r="Y279" s="63"/>
      <c r="Z279" s="63"/>
      <c r="AA279" s="63"/>
      <c r="AB279" s="63" t="s">
        <v>101</v>
      </c>
      <c r="AC279" s="63" t="s">
        <v>101</v>
      </c>
      <c r="AD279" s="63" t="s">
        <v>101</v>
      </c>
      <c r="AE279" s="64"/>
      <c r="AF279" s="52"/>
      <c r="AG279" s="52"/>
    </row>
    <row r="280" spans="24:33" ht="15">
      <c r="X280" s="59" t="s">
        <v>91</v>
      </c>
      <c r="Y280" s="59"/>
      <c r="Z280" s="59"/>
      <c r="AA280" s="59"/>
      <c r="AB280" s="59" t="s">
        <v>91</v>
      </c>
      <c r="AC280" s="59" t="s">
        <v>91</v>
      </c>
      <c r="AD280" s="59" t="s">
        <v>91</v>
      </c>
      <c r="AE280" s="60"/>
      <c r="AF280" s="50"/>
      <c r="AG280" s="50"/>
    </row>
    <row r="281" spans="24:33" ht="15">
      <c r="X281" s="63" t="s">
        <v>92</v>
      </c>
      <c r="Y281" s="63"/>
      <c r="Z281" s="63"/>
      <c r="AA281" s="63"/>
      <c r="AB281" s="63" t="s">
        <v>92</v>
      </c>
      <c r="AC281" s="63" t="s">
        <v>93</v>
      </c>
      <c r="AD281" s="63" t="s">
        <v>99</v>
      </c>
      <c r="AE281" s="64"/>
      <c r="AF281" s="52"/>
      <c r="AG281" s="52"/>
    </row>
    <row r="282" spans="24:33" ht="12.75">
      <c r="X282" s="61"/>
      <c r="Y282" s="61"/>
      <c r="Z282" s="61"/>
      <c r="AA282" s="61"/>
      <c r="AB282" s="61"/>
      <c r="AC282" s="61"/>
      <c r="AD282" s="61"/>
      <c r="AE282" s="62"/>
      <c r="AF282" s="51"/>
      <c r="AG282" s="51"/>
    </row>
    <row r="283" spans="24:33" ht="12.75">
      <c r="X283" s="61"/>
      <c r="Y283" s="61"/>
      <c r="Z283" s="61"/>
      <c r="AA283" s="61"/>
      <c r="AB283" s="61"/>
      <c r="AC283" s="61"/>
      <c r="AD283" s="61"/>
      <c r="AE283" s="62"/>
      <c r="AF283" s="51"/>
      <c r="AG283" s="51"/>
    </row>
    <row r="284" spans="24:33" ht="15">
      <c r="X284" s="59" t="s">
        <v>91</v>
      </c>
      <c r="Y284" s="59"/>
      <c r="Z284" s="59"/>
      <c r="AA284" s="59"/>
      <c r="AB284" s="59" t="s">
        <v>91</v>
      </c>
      <c r="AC284" s="59" t="s">
        <v>91</v>
      </c>
      <c r="AD284" s="59" t="s">
        <v>91</v>
      </c>
      <c r="AE284" s="60"/>
      <c r="AF284" s="50"/>
      <c r="AG284" s="50"/>
    </row>
    <row r="285" spans="24:33" ht="12.75">
      <c r="X285" s="48"/>
      <c r="Y285" s="48"/>
      <c r="Z285" s="48"/>
      <c r="AA285" s="48"/>
      <c r="AB285" s="48"/>
      <c r="AC285" s="48"/>
      <c r="AD285" s="48"/>
      <c r="AE285" s="49"/>
      <c r="AF285" s="47"/>
      <c r="AG285" s="47"/>
    </row>
    <row r="286" spans="24:33" ht="12.75">
      <c r="X286" s="55"/>
      <c r="Y286" s="55"/>
      <c r="Z286" s="55"/>
      <c r="AA286" s="55"/>
      <c r="AB286" s="55"/>
      <c r="AC286" s="55"/>
      <c r="AD286" s="55"/>
      <c r="AE286" s="46"/>
      <c r="AF286" s="1"/>
      <c r="AG286" s="1"/>
    </row>
    <row r="289" spans="24:33" ht="12.75">
      <c r="X289" s="57" t="s">
        <v>107</v>
      </c>
      <c r="Y289" s="56"/>
      <c r="Z289" s="56"/>
      <c r="AA289" s="56"/>
      <c r="AC289" s="57" t="s">
        <v>104</v>
      </c>
      <c r="AD289" s="57" t="s">
        <v>105</v>
      </c>
      <c r="AE289" s="38"/>
      <c r="AF289" s="56"/>
      <c r="AG289" s="56"/>
    </row>
    <row r="290" spans="24:33" ht="12.75">
      <c r="X290" s="45"/>
      <c r="Y290" s="1"/>
      <c r="Z290" s="1"/>
      <c r="AA290" s="1"/>
      <c r="AC290" s="45"/>
      <c r="AD290" s="45"/>
      <c r="AE290" s="46"/>
      <c r="AF290" s="1"/>
      <c r="AG290" s="1"/>
    </row>
    <row r="291" spans="24:33" ht="12.75">
      <c r="X291" s="48"/>
      <c r="Y291" s="47"/>
      <c r="Z291" s="47"/>
      <c r="AA291" s="47"/>
      <c r="AC291" s="48"/>
      <c r="AD291" s="48"/>
      <c r="AE291" s="49"/>
      <c r="AF291" s="47"/>
      <c r="AG291" s="47"/>
    </row>
    <row r="292" spans="24:33" ht="15">
      <c r="X292" s="59" t="s">
        <v>90</v>
      </c>
      <c r="Y292" s="50"/>
      <c r="Z292" s="50"/>
      <c r="AA292" s="50"/>
      <c r="AC292" s="59" t="s">
        <v>90</v>
      </c>
      <c r="AD292" s="59" t="s">
        <v>90</v>
      </c>
      <c r="AE292" s="60"/>
      <c r="AF292" s="50"/>
      <c r="AG292" s="50"/>
    </row>
    <row r="293" spans="24:33" ht="12.75">
      <c r="X293" s="61"/>
      <c r="Y293" s="51"/>
      <c r="Z293" s="51"/>
      <c r="AA293" s="51"/>
      <c r="AC293" s="61"/>
      <c r="AD293" s="61"/>
      <c r="AE293" s="62"/>
      <c r="AF293" s="51"/>
      <c r="AG293" s="51"/>
    </row>
    <row r="294" spans="24:33" ht="12.75">
      <c r="X294" s="61"/>
      <c r="Y294" s="51"/>
      <c r="Z294" s="51"/>
      <c r="AA294" s="51"/>
      <c r="AC294" s="61"/>
      <c r="AD294" s="61"/>
      <c r="AE294" s="62"/>
      <c r="AF294" s="51"/>
      <c r="AG294" s="51"/>
    </row>
    <row r="295" spans="24:33" ht="15">
      <c r="X295" s="63" t="s">
        <v>92</v>
      </c>
      <c r="Y295" s="52"/>
      <c r="Z295" s="52"/>
      <c r="AA295" s="52"/>
      <c r="AC295" s="63" t="s">
        <v>93</v>
      </c>
      <c r="AD295" s="63" t="s">
        <v>99</v>
      </c>
      <c r="AE295" s="64"/>
      <c r="AF295" s="52"/>
      <c r="AG295" s="52"/>
    </row>
    <row r="296" spans="24:33" ht="15">
      <c r="X296" s="59" t="s">
        <v>90</v>
      </c>
      <c r="Y296" s="50"/>
      <c r="Z296" s="50"/>
      <c r="AA296" s="50"/>
      <c r="AC296" s="59" t="s">
        <v>90</v>
      </c>
      <c r="AD296" s="59" t="s">
        <v>90</v>
      </c>
      <c r="AE296" s="60"/>
      <c r="AF296" s="50"/>
      <c r="AG296" s="50"/>
    </row>
    <row r="297" spans="24:33" ht="15">
      <c r="X297" s="63" t="s">
        <v>106</v>
      </c>
      <c r="Y297" s="52"/>
      <c r="Z297" s="52"/>
      <c r="AA297" s="52"/>
      <c r="AC297" s="63" t="s">
        <v>101</v>
      </c>
      <c r="AD297" s="63" t="s">
        <v>101</v>
      </c>
      <c r="AE297" s="64"/>
      <c r="AF297" s="52"/>
      <c r="AG297" s="52"/>
    </row>
    <row r="298" spans="24:33" ht="15">
      <c r="X298" s="59" t="s">
        <v>90</v>
      </c>
      <c r="Y298" s="50"/>
      <c r="Z298" s="50"/>
      <c r="AA298" s="50"/>
      <c r="AC298" s="59" t="s">
        <v>90</v>
      </c>
      <c r="AD298" s="59" t="s">
        <v>90</v>
      </c>
      <c r="AE298" s="60"/>
      <c r="AF298" s="50"/>
      <c r="AG298" s="50"/>
    </row>
    <row r="299" spans="24:33" ht="15">
      <c r="X299" s="63" t="s">
        <v>92</v>
      </c>
      <c r="Y299" s="52"/>
      <c r="Z299" s="52"/>
      <c r="AA299" s="52"/>
      <c r="AC299" s="63" t="s">
        <v>92</v>
      </c>
      <c r="AD299" s="63" t="s">
        <v>92</v>
      </c>
      <c r="AE299" s="64"/>
      <c r="AF299" s="52"/>
      <c r="AG299" s="52"/>
    </row>
    <row r="300" spans="24:33" ht="15">
      <c r="X300" s="59" t="s">
        <v>90</v>
      </c>
      <c r="Y300" s="50"/>
      <c r="Z300" s="50"/>
      <c r="AA300" s="50"/>
      <c r="AC300" s="59" t="s">
        <v>90</v>
      </c>
      <c r="AD300" s="59" t="s">
        <v>90</v>
      </c>
      <c r="AE300" s="60"/>
      <c r="AF300" s="50"/>
      <c r="AG300" s="50"/>
    </row>
    <row r="301" spans="24:33" ht="15">
      <c r="X301" s="63" t="s">
        <v>106</v>
      </c>
      <c r="Y301" s="52"/>
      <c r="Z301" s="52"/>
      <c r="AA301" s="52"/>
      <c r="AC301" s="63" t="s">
        <v>101</v>
      </c>
      <c r="AD301" s="63" t="s">
        <v>101</v>
      </c>
      <c r="AE301" s="64"/>
      <c r="AF301" s="52"/>
      <c r="AG301" s="52"/>
    </row>
    <row r="302" spans="24:33" ht="15">
      <c r="X302" s="59" t="s">
        <v>90</v>
      </c>
      <c r="Y302" s="50"/>
      <c r="Z302" s="50"/>
      <c r="AA302" s="50"/>
      <c r="AC302" s="59" t="s">
        <v>90</v>
      </c>
      <c r="AD302" s="59" t="s">
        <v>90</v>
      </c>
      <c r="AE302" s="60"/>
      <c r="AF302" s="50"/>
      <c r="AG302" s="50"/>
    </row>
    <row r="303" spans="24:33" ht="15">
      <c r="X303" s="63" t="s">
        <v>92</v>
      </c>
      <c r="Y303" s="52"/>
      <c r="Z303" s="52"/>
      <c r="AA303" s="52"/>
      <c r="AC303" s="63" t="s">
        <v>92</v>
      </c>
      <c r="AD303" s="63" t="s">
        <v>92</v>
      </c>
      <c r="AE303" s="64"/>
      <c r="AF303" s="52"/>
      <c r="AG303" s="52"/>
    </row>
    <row r="304" spans="24:33" ht="15">
      <c r="X304" s="59" t="s">
        <v>90</v>
      </c>
      <c r="Y304" s="50"/>
      <c r="Z304" s="50"/>
      <c r="AA304" s="50"/>
      <c r="AC304" s="59" t="s">
        <v>90</v>
      </c>
      <c r="AD304" s="59" t="s">
        <v>90</v>
      </c>
      <c r="AE304" s="60"/>
      <c r="AF304" s="50"/>
      <c r="AG304" s="50"/>
    </row>
    <row r="305" spans="24:33" ht="15">
      <c r="X305" s="63" t="s">
        <v>106</v>
      </c>
      <c r="Y305" s="52"/>
      <c r="Z305" s="52"/>
      <c r="AA305" s="52"/>
      <c r="AC305" s="63" t="s">
        <v>101</v>
      </c>
      <c r="AD305" s="63" t="s">
        <v>101</v>
      </c>
      <c r="AE305" s="64"/>
      <c r="AF305" s="52"/>
      <c r="AG305" s="52"/>
    </row>
    <row r="306" spans="24:33" ht="15">
      <c r="X306" s="59" t="s">
        <v>90</v>
      </c>
      <c r="Y306" s="50"/>
      <c r="Z306" s="50"/>
      <c r="AA306" s="50"/>
      <c r="AC306" s="59" t="s">
        <v>90</v>
      </c>
      <c r="AD306" s="59" t="s">
        <v>90</v>
      </c>
      <c r="AE306" s="60"/>
      <c r="AF306" s="50"/>
      <c r="AG306" s="50"/>
    </row>
    <row r="307" spans="24:33" ht="15">
      <c r="X307" s="63" t="s">
        <v>92</v>
      </c>
      <c r="Y307" s="52"/>
      <c r="Z307" s="52"/>
      <c r="AA307" s="52"/>
      <c r="AC307" s="63" t="s">
        <v>93</v>
      </c>
      <c r="AD307" s="63" t="s">
        <v>99</v>
      </c>
      <c r="AE307" s="64"/>
      <c r="AF307" s="52"/>
      <c r="AG307" s="52"/>
    </row>
    <row r="308" spans="24:33" ht="12.75">
      <c r="X308" s="61"/>
      <c r="Y308" s="51"/>
      <c r="Z308" s="51"/>
      <c r="AA308" s="51"/>
      <c r="AC308" s="61"/>
      <c r="AD308" s="61"/>
      <c r="AE308" s="62"/>
      <c r="AF308" s="51"/>
      <c r="AG308" s="51"/>
    </row>
    <row r="309" spans="24:33" ht="12.75">
      <c r="X309" s="61"/>
      <c r="Y309" s="51"/>
      <c r="Z309" s="51"/>
      <c r="AA309" s="51"/>
      <c r="AC309" s="61"/>
      <c r="AD309" s="61"/>
      <c r="AE309" s="62"/>
      <c r="AF309" s="51"/>
      <c r="AG309" s="51"/>
    </row>
    <row r="310" spans="24:33" ht="15">
      <c r="X310" s="59" t="s">
        <v>90</v>
      </c>
      <c r="Y310" s="50"/>
      <c r="Z310" s="50"/>
      <c r="AA310" s="50"/>
      <c r="AC310" s="59" t="s">
        <v>90</v>
      </c>
      <c r="AD310" s="59" t="s">
        <v>90</v>
      </c>
      <c r="AE310" s="60"/>
      <c r="AF310" s="50"/>
      <c r="AG310" s="50"/>
    </row>
    <row r="311" spans="24:33" ht="12.75">
      <c r="X311" s="48"/>
      <c r="Y311" s="47"/>
      <c r="Z311" s="47"/>
      <c r="AA311" s="47"/>
      <c r="AC311" s="48"/>
      <c r="AD311" s="48"/>
      <c r="AE311" s="49"/>
      <c r="AF311" s="47"/>
      <c r="AG311" s="47"/>
    </row>
    <row r="312" spans="24:33" ht="12.75">
      <c r="X312" s="55"/>
      <c r="Y312" s="1"/>
      <c r="Z312" s="1"/>
      <c r="AA312" s="1"/>
      <c r="AC312" s="55"/>
      <c r="AD312" s="55"/>
      <c r="AE312" s="46"/>
      <c r="AF312" s="1"/>
      <c r="AG312" s="1"/>
    </row>
    <row r="315" spans="1:33" ht="12.75">
      <c r="A315">
        <v>10</v>
      </c>
      <c r="AD315" s="57" t="s">
        <v>108</v>
      </c>
      <c r="AE315" s="38"/>
      <c r="AF315" s="56"/>
      <c r="AG315" s="56"/>
    </row>
    <row r="316" spans="30:33" ht="12.75">
      <c r="AD316" s="45"/>
      <c r="AE316" s="46"/>
      <c r="AF316" s="1"/>
      <c r="AG316" s="1"/>
    </row>
    <row r="317" spans="30:33" ht="12.75">
      <c r="AD317" s="48"/>
      <c r="AE317" s="49"/>
      <c r="AF317" s="47"/>
      <c r="AG317" s="47"/>
    </row>
    <row r="318" spans="30:33" ht="15">
      <c r="AD318" s="59" t="s">
        <v>91</v>
      </c>
      <c r="AE318" s="60"/>
      <c r="AF318" s="50"/>
      <c r="AG318" s="50"/>
    </row>
    <row r="319" spans="30:33" ht="12.75">
      <c r="AD319" s="61"/>
      <c r="AE319" s="62"/>
      <c r="AF319" s="51"/>
      <c r="AG319" s="51"/>
    </row>
    <row r="320" spans="30:33" ht="12.75">
      <c r="AD320" s="61"/>
      <c r="AE320" s="62"/>
      <c r="AF320" s="51"/>
      <c r="AG320" s="51"/>
    </row>
    <row r="321" spans="30:33" ht="15">
      <c r="AD321" s="63" t="s">
        <v>92</v>
      </c>
      <c r="AE321" s="64"/>
      <c r="AF321" s="52"/>
      <c r="AG321" s="52"/>
    </row>
    <row r="322" spans="30:33" ht="15">
      <c r="AD322" s="59" t="s">
        <v>91</v>
      </c>
      <c r="AE322" s="60"/>
      <c r="AF322" s="50"/>
      <c r="AG322" s="50"/>
    </row>
    <row r="323" spans="30:33" ht="15">
      <c r="AD323" s="63" t="s">
        <v>101</v>
      </c>
      <c r="AE323" s="64"/>
      <c r="AF323" s="52"/>
      <c r="AG323" s="52"/>
    </row>
    <row r="324" spans="30:33" ht="15">
      <c r="AD324" s="59" t="s">
        <v>91</v>
      </c>
      <c r="AE324" s="60"/>
      <c r="AF324" s="50"/>
      <c r="AG324" s="50"/>
    </row>
    <row r="325" spans="30:33" ht="15">
      <c r="AD325" s="63" t="s">
        <v>92</v>
      </c>
      <c r="AE325" s="64"/>
      <c r="AF325" s="52"/>
      <c r="AG325" s="52"/>
    </row>
    <row r="326" spans="30:33" ht="15">
      <c r="AD326" s="59" t="s">
        <v>91</v>
      </c>
      <c r="AE326" s="60"/>
      <c r="AF326" s="50"/>
      <c r="AG326" s="50"/>
    </row>
    <row r="327" spans="30:33" ht="15">
      <c r="AD327" s="63" t="s">
        <v>101</v>
      </c>
      <c r="AE327" s="64"/>
      <c r="AF327" s="52"/>
      <c r="AG327" s="52"/>
    </row>
    <row r="328" spans="30:33" ht="15">
      <c r="AD328" s="59" t="s">
        <v>91</v>
      </c>
      <c r="AE328" s="60"/>
      <c r="AF328" s="50"/>
      <c r="AG328" s="50"/>
    </row>
    <row r="329" spans="30:33" ht="15">
      <c r="AD329" s="63" t="s">
        <v>92</v>
      </c>
      <c r="AE329" s="64"/>
      <c r="AF329" s="52"/>
      <c r="AG329" s="52"/>
    </row>
    <row r="330" spans="30:33" ht="15">
      <c r="AD330" s="59" t="s">
        <v>91</v>
      </c>
      <c r="AE330" s="60"/>
      <c r="AF330" s="50"/>
      <c r="AG330" s="50"/>
    </row>
    <row r="331" spans="30:33" ht="15">
      <c r="AD331" s="63" t="s">
        <v>101</v>
      </c>
      <c r="AE331" s="64"/>
      <c r="AF331" s="52"/>
      <c r="AG331" s="52"/>
    </row>
    <row r="332" spans="30:33" ht="15">
      <c r="AD332" s="59" t="s">
        <v>91</v>
      </c>
      <c r="AE332" s="60"/>
      <c r="AF332" s="50"/>
      <c r="AG332" s="50"/>
    </row>
    <row r="333" spans="30:33" ht="15">
      <c r="AD333" s="63" t="s">
        <v>92</v>
      </c>
      <c r="AE333" s="64"/>
      <c r="AF333" s="52"/>
      <c r="AG333" s="52"/>
    </row>
    <row r="334" spans="30:33" ht="12.75">
      <c r="AD334" s="61"/>
      <c r="AE334" s="62"/>
      <c r="AF334" s="51"/>
      <c r="AG334" s="51"/>
    </row>
    <row r="335" spans="30:33" ht="12.75">
      <c r="AD335" s="61"/>
      <c r="AE335" s="62"/>
      <c r="AF335" s="51"/>
      <c r="AG335" s="51"/>
    </row>
    <row r="336" spans="30:33" ht="15">
      <c r="AD336" s="59" t="s">
        <v>91</v>
      </c>
      <c r="AE336" s="60"/>
      <c r="AF336" s="50"/>
      <c r="AG336" s="50"/>
    </row>
    <row r="337" spans="30:33" ht="12.75">
      <c r="AD337" s="48"/>
      <c r="AE337" s="49"/>
      <c r="AF337" s="47"/>
      <c r="AG337" s="47"/>
    </row>
    <row r="338" spans="30:33" ht="12.75">
      <c r="AD338" s="67"/>
      <c r="AE338" s="46"/>
      <c r="AF338" s="1"/>
      <c r="AG338" s="1"/>
    </row>
    <row r="339" spans="29:34" ht="12.75">
      <c r="AC339" s="4"/>
      <c r="AD339" s="4"/>
      <c r="AE339" s="68"/>
      <c r="AF339" s="4"/>
      <c r="AG339" s="4"/>
      <c r="AH339" s="4"/>
    </row>
    <row r="340" spans="29:34" ht="12.75">
      <c r="AC340" s="4"/>
      <c r="AD340" s="4"/>
      <c r="AE340" s="68"/>
      <c r="AF340" s="4"/>
      <c r="AG340" s="4"/>
      <c r="AH340" s="4"/>
    </row>
    <row r="341" spans="29:34" ht="12.75">
      <c r="AC341" s="4"/>
      <c r="AD341" s="4"/>
      <c r="AE341" s="68"/>
      <c r="AF341" s="4"/>
      <c r="AG341" s="4"/>
      <c r="AH341" s="4"/>
    </row>
    <row r="342" spans="29:34" ht="12.75">
      <c r="AC342" s="4"/>
      <c r="AD342" s="4"/>
      <c r="AE342" s="68"/>
      <c r="AF342" s="4"/>
      <c r="AG342" s="4"/>
      <c r="AH342" s="4"/>
    </row>
    <row r="343" spans="29:34" ht="12.75">
      <c r="AC343" s="4"/>
      <c r="AD343" s="4"/>
      <c r="AE343" s="68"/>
      <c r="AF343" s="4"/>
      <c r="AG343" s="4"/>
      <c r="AH343" s="4"/>
    </row>
    <row r="344" spans="29:34" ht="12.75">
      <c r="AC344" s="4"/>
      <c r="AD344" s="4"/>
      <c r="AE344" s="68"/>
      <c r="AF344" s="4"/>
      <c r="AG344" s="4"/>
      <c r="AH344" s="4"/>
    </row>
    <row r="345" spans="29:34" ht="12.75">
      <c r="AC345" s="4"/>
      <c r="AD345" s="4"/>
      <c r="AE345" s="68"/>
      <c r="AF345" s="4"/>
      <c r="AG345" s="4"/>
      <c r="AH345" s="4"/>
    </row>
    <row r="346" spans="29:34" ht="12.75">
      <c r="AC346" s="4"/>
      <c r="AD346" s="4"/>
      <c r="AE346" s="68"/>
      <c r="AF346" s="4"/>
      <c r="AG346" s="4"/>
      <c r="AH346" s="4"/>
    </row>
    <row r="347" spans="29:34" ht="12.75">
      <c r="AC347" s="4"/>
      <c r="AD347" s="4"/>
      <c r="AE347" s="68"/>
      <c r="AF347" s="4"/>
      <c r="AG347" s="4"/>
      <c r="AH347" s="4"/>
    </row>
    <row r="348" spans="29:34" ht="12.75">
      <c r="AC348" s="4"/>
      <c r="AD348" s="4"/>
      <c r="AE348" s="68"/>
      <c r="AF348" s="4"/>
      <c r="AG348" s="4"/>
      <c r="AH348" s="4"/>
    </row>
    <row r="349" spans="29:34" ht="12.75">
      <c r="AC349" s="4"/>
      <c r="AD349" s="4"/>
      <c r="AE349" s="68"/>
      <c r="AF349" s="4"/>
      <c r="AG349" s="4"/>
      <c r="AH349" s="4"/>
    </row>
    <row r="350" spans="29:34" ht="12.75">
      <c r="AC350" s="4"/>
      <c r="AD350" s="4"/>
      <c r="AE350" s="68"/>
      <c r="AF350" s="4"/>
      <c r="AG350" s="4"/>
      <c r="AH350" s="4"/>
    </row>
    <row r="351" spans="29:34" ht="12.75">
      <c r="AC351" s="4"/>
      <c r="AD351" s="4"/>
      <c r="AE351" s="68"/>
      <c r="AF351" s="4"/>
      <c r="AG351" s="4"/>
      <c r="AH351" s="4"/>
    </row>
    <row r="352" spans="29:34" ht="12.75">
      <c r="AC352" s="4"/>
      <c r="AD352" s="4"/>
      <c r="AE352" s="68"/>
      <c r="AF352" s="4"/>
      <c r="AG352" s="4"/>
      <c r="AH352" s="4"/>
    </row>
    <row r="353" spans="29:34" ht="12.75">
      <c r="AC353" s="4"/>
      <c r="AD353" s="4"/>
      <c r="AE353" s="68"/>
      <c r="AF353" s="4"/>
      <c r="AG353" s="4"/>
      <c r="AH353" s="4"/>
    </row>
    <row r="354" spans="29:34" ht="12.75">
      <c r="AC354" s="4"/>
      <c r="AD354" s="4"/>
      <c r="AE354" s="68"/>
      <c r="AF354" s="4"/>
      <c r="AG354" s="4"/>
      <c r="AH354" s="4"/>
    </row>
    <row r="355" spans="29:34" ht="12.75">
      <c r="AC355" s="4"/>
      <c r="AD355" s="4"/>
      <c r="AE355" s="68"/>
      <c r="AF355" s="4"/>
      <c r="AG355" s="4"/>
      <c r="AH355" s="4"/>
    </row>
    <row r="356" spans="29:34" ht="12.75">
      <c r="AC356" s="4"/>
      <c r="AD356" s="4"/>
      <c r="AE356" s="68"/>
      <c r="AF356" s="4"/>
      <c r="AG356" s="4"/>
      <c r="AH356" s="4"/>
    </row>
    <row r="357" spans="29:34" ht="12.75">
      <c r="AC357" s="4"/>
      <c r="AD357" s="4"/>
      <c r="AE357" s="68"/>
      <c r="AF357" s="4"/>
      <c r="AG357" s="4"/>
      <c r="AH357" s="4"/>
    </row>
    <row r="358" spans="29:34" ht="12.75">
      <c r="AC358" s="4"/>
      <c r="AD358" s="4"/>
      <c r="AE358" s="68"/>
      <c r="AF358" s="4"/>
      <c r="AG358" s="4"/>
      <c r="AH358" s="4"/>
    </row>
    <row r="359" spans="29:34" ht="12.75">
      <c r="AC359" s="4"/>
      <c r="AD359" s="4"/>
      <c r="AE359" s="68"/>
      <c r="AF359" s="4"/>
      <c r="AG359" s="4"/>
      <c r="AH359" s="4"/>
    </row>
    <row r="360" spans="29:34" ht="12.75">
      <c r="AC360" s="4"/>
      <c r="AD360" s="4"/>
      <c r="AE360" s="68"/>
      <c r="AF360" s="4"/>
      <c r="AG360" s="4"/>
      <c r="AH360" s="4"/>
    </row>
    <row r="361" spans="29:34" ht="12.75">
      <c r="AC361" s="4"/>
      <c r="AD361" s="4"/>
      <c r="AE361" s="68"/>
      <c r="AF361" s="4"/>
      <c r="AG361" s="4"/>
      <c r="AH361" s="4"/>
    </row>
    <row r="362" spans="29:34" ht="12.75">
      <c r="AC362" s="4"/>
      <c r="AD362" s="4"/>
      <c r="AE362" s="68"/>
      <c r="AF362" s="4"/>
      <c r="AG362" s="4"/>
      <c r="AH362" s="4"/>
    </row>
    <row r="363" spans="29:34" ht="12.75">
      <c r="AC363" s="4"/>
      <c r="AD363" s="4"/>
      <c r="AE363" s="68"/>
      <c r="AF363" s="4"/>
      <c r="AG363" s="4"/>
      <c r="AH363" s="4"/>
    </row>
    <row r="364" spans="29:34" ht="12.75">
      <c r="AC364" s="4"/>
      <c r="AD364" s="4"/>
      <c r="AE364" s="68"/>
      <c r="AF364" s="4"/>
      <c r="AG364" s="4"/>
      <c r="AH364" s="4"/>
    </row>
    <row r="365" spans="29:34" ht="12.75">
      <c r="AC365" s="4"/>
      <c r="AD365" s="4"/>
      <c r="AE365" s="68"/>
      <c r="AF365" s="4"/>
      <c r="AG365" s="4"/>
      <c r="AH365" s="4"/>
    </row>
    <row r="366" spans="1:34" ht="12.75">
      <c r="A366" t="s">
        <v>109</v>
      </c>
      <c r="AC366" s="4"/>
      <c r="AD366" s="4"/>
      <c r="AE366" s="68"/>
      <c r="AF366" s="4"/>
      <c r="AG366" s="4"/>
      <c r="AH366" s="4"/>
    </row>
    <row r="367" ht="12.75">
      <c r="A367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Никуйко</dc:creator>
  <cp:keywords/>
  <dc:description/>
  <cp:lastModifiedBy>Света</cp:lastModifiedBy>
  <cp:lastPrinted>2018-10-19T05:55:13Z</cp:lastPrinted>
  <dcterms:created xsi:type="dcterms:W3CDTF">2017-07-03T05:53:16Z</dcterms:created>
  <dcterms:modified xsi:type="dcterms:W3CDTF">2018-10-19T07:18:32Z</dcterms:modified>
  <cp:category/>
  <cp:version/>
  <cp:contentType/>
  <cp:contentStatus/>
</cp:coreProperties>
</file>